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600" windowHeight="8325"/>
  </bookViews>
  <sheets>
    <sheet name="Hoja1" sheetId="1" r:id="rId1"/>
    <sheet name="Hoja2" sheetId="2" r:id="rId2"/>
    <sheet name="Hoja3" sheetId="3" r:id="rId3"/>
  </sheets>
  <definedNames>
    <definedName name="a">Hoja1!$D$4</definedName>
    <definedName name="a_0">Hoja1!$D$24</definedName>
    <definedName name="a_1">Hoja1!$D$25</definedName>
    <definedName name="Af">Hoja1!$D$18</definedName>
    <definedName name="ay">Hoja1!$D$29</definedName>
    <definedName name="Balance">Hoja1!$D$19</definedName>
    <definedName name="Cl">Hoja1!$D$17</definedName>
    <definedName name="Ff_rq">Hoja1!$M$14</definedName>
    <definedName name="FLf">Hoja1!$D$20</definedName>
    <definedName name="FLt">Hoja1!$D$21</definedName>
    <definedName name="Fr_rq">Hoja1!$M$20</definedName>
    <definedName name="Fy">Hoja1!$D$30</definedName>
    <definedName name="h">Hoja1!$D$5</definedName>
    <definedName name="kf_kt">Hoja1!$D$14</definedName>
    <definedName name="kr_kt">Hoja1!$D$15</definedName>
    <definedName name="L">Hoja1!$D$7</definedName>
    <definedName name="m">Hoja1!$D$6</definedName>
    <definedName name="mu">Hoja1!$D$23</definedName>
    <definedName name="Radio">Hoja1!$D$27</definedName>
    <definedName name="Tf">Hoja1!$D$8</definedName>
    <definedName name="Tr">Hoja1!$D$9</definedName>
    <definedName name="v">Hoja1!$D$28</definedName>
    <definedName name="Wf">Hoja1!$D$11</definedName>
    <definedName name="Wr">Hoja1!$D$12</definedName>
    <definedName name="Wt">Hoja1!$D$10</definedName>
  </definedNames>
  <calcPr calcId="145621"/>
</workbook>
</file>

<file path=xl/calcChain.xml><?xml version="1.0" encoding="utf-8"?>
<calcChain xmlns="http://schemas.openxmlformats.org/spreadsheetml/2006/main">
  <c r="D15" i="1" l="1"/>
  <c r="D10" i="1" l="1"/>
  <c r="D12" i="1" s="1"/>
  <c r="D21" i="1"/>
  <c r="D20" i="1"/>
  <c r="D29" i="1"/>
  <c r="D30" i="1"/>
  <c r="D23" i="1" l="1"/>
  <c r="M8" i="1" s="1"/>
  <c r="M20" i="1"/>
  <c r="M14" i="1"/>
  <c r="D11" i="1"/>
  <c r="G23" i="1" l="1"/>
  <c r="G8" i="1"/>
  <c r="M10" i="1" s="1"/>
  <c r="M23" i="1"/>
  <c r="M25" i="1" l="1"/>
  <c r="G10" i="1"/>
  <c r="G25" i="1"/>
</calcChain>
</file>

<file path=xl/sharedStrings.xml><?xml version="1.0" encoding="utf-8"?>
<sst xmlns="http://schemas.openxmlformats.org/spreadsheetml/2006/main" count="34" uniqueCount="34">
  <si>
    <t>Datos del vehículo</t>
  </si>
  <si>
    <t>Neumático FL</t>
  </si>
  <si>
    <t>Neumático RL</t>
  </si>
  <si>
    <t>Neumático FR</t>
  </si>
  <si>
    <t>Neumático RR</t>
  </si>
  <si>
    <t>Datos de curva</t>
  </si>
  <si>
    <t>Radio (m)</t>
  </si>
  <si>
    <t>masa (kg)</t>
  </si>
  <si>
    <t>batalla (m)</t>
  </si>
  <si>
    <t>CL (-)</t>
  </si>
  <si>
    <t>Af (m^2)</t>
  </si>
  <si>
    <t>%Balance (-)</t>
  </si>
  <si>
    <t>Pos. Longitudinal CG (m)</t>
  </si>
  <si>
    <t>Pos. Transversal CG (m)</t>
  </si>
  <si>
    <t>V. paso por curva (m/s)</t>
  </si>
  <si>
    <t>Fuerza centrífuga (N)</t>
  </si>
  <si>
    <t>Aceleración centrífuga (g)</t>
  </si>
  <si>
    <t>Aerodinámica</t>
  </si>
  <si>
    <t>Neumático</t>
  </si>
  <si>
    <t>FLf</t>
  </si>
  <si>
    <t>FLr</t>
  </si>
  <si>
    <t>Wt</t>
  </si>
  <si>
    <t>Wf</t>
  </si>
  <si>
    <t>Wr</t>
  </si>
  <si>
    <t>Tf (m)</t>
  </si>
  <si>
    <t>Tr(m)</t>
  </si>
  <si>
    <t>a0</t>
  </si>
  <si>
    <t>a1</t>
  </si>
  <si>
    <t>Fuerza frontal requerida</t>
  </si>
  <si>
    <t>Fuerza trasera requerida</t>
  </si>
  <si>
    <t>Suspensiones</t>
  </si>
  <si>
    <t>Kf/Kt</t>
  </si>
  <si>
    <t>Kr/Kt</t>
  </si>
  <si>
    <t>Coeficiente de fricción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</si>
</sst>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darkTrellis">
        <bgColor theme="1" tint="0.249977111117893"/>
      </patternFill>
    </fill>
    <fill>
      <patternFill patternType="darkTrellis">
        <bgColor theme="1" tint="0.24994659260841701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 style="medium">
        <color rgb="FFFFFF00"/>
      </top>
      <bottom/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3" borderId="11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8" xfId="0" applyFill="1" applyBorder="1"/>
    <xf numFmtId="0" fontId="0" fillId="0" borderId="0" xfId="0" applyAlignment="1"/>
    <xf numFmtId="2" fontId="0" fillId="0" borderId="0" xfId="0" applyNumberFormat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9" fontId="3" fillId="2" borderId="7" xfId="1" applyFont="1" applyFill="1" applyBorder="1" applyAlignment="1">
      <alignment horizontal="center"/>
    </xf>
    <xf numFmtId="9" fontId="3" fillId="2" borderId="8" xfId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FL</c:v>
          </c:tx>
          <c:invertIfNegative val="0"/>
          <c:val>
            <c:numRef>
              <c:f>Hoja1!$G$8</c:f>
              <c:numCache>
                <c:formatCode>0.00</c:formatCode>
                <c:ptCount val="1"/>
                <c:pt idx="0">
                  <c:v>6907.8770940258164</c:v>
                </c:pt>
              </c:numCache>
            </c:numRef>
          </c:val>
        </c:ser>
        <c:ser>
          <c:idx val="1"/>
          <c:order val="1"/>
          <c:tx>
            <c:v>FR</c:v>
          </c:tx>
          <c:invertIfNegative val="0"/>
          <c:val>
            <c:numRef>
              <c:f>Hoja1!$M$8</c:f>
              <c:numCache>
                <c:formatCode>0.00</c:formatCode>
                <c:ptCount val="1"/>
                <c:pt idx="0">
                  <c:v>2655.377094025815</c:v>
                </c:pt>
              </c:numCache>
            </c:numRef>
          </c:val>
        </c:ser>
        <c:ser>
          <c:idx val="2"/>
          <c:order val="2"/>
          <c:tx>
            <c:v>RL</c:v>
          </c:tx>
          <c:invertIfNegative val="0"/>
          <c:val>
            <c:numRef>
              <c:f>Hoja1!$G$23</c:f>
              <c:numCache>
                <c:formatCode>0.00</c:formatCode>
                <c:ptCount val="1"/>
                <c:pt idx="0">
                  <c:v>6471.2393945390431</c:v>
                </c:pt>
              </c:numCache>
            </c:numRef>
          </c:val>
        </c:ser>
        <c:ser>
          <c:idx val="3"/>
          <c:order val="3"/>
          <c:tx>
            <c:v>RR</c:v>
          </c:tx>
          <c:invertIfNegative val="0"/>
          <c:val>
            <c:numRef>
              <c:f>Hoja1!$M$23</c:f>
              <c:numCache>
                <c:formatCode>0.00</c:formatCode>
                <c:ptCount val="1"/>
                <c:pt idx="0">
                  <c:v>2284.1624714621207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79360"/>
        <c:axId val="73280896"/>
        <c:axId val="71231232"/>
      </c:bar3DChart>
      <c:catAx>
        <c:axId val="7327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73280896"/>
        <c:crosses val="autoZero"/>
        <c:auto val="1"/>
        <c:lblAlgn val="ctr"/>
        <c:lblOffset val="100"/>
        <c:noMultiLvlLbl val="0"/>
      </c:catAx>
      <c:valAx>
        <c:axId val="73280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279360"/>
        <c:crosses val="autoZero"/>
        <c:crossBetween val="between"/>
      </c:valAx>
      <c:serAx>
        <c:axId val="712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73280896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171451</xdr:colOff>
      <xdr:row>6</xdr:row>
      <xdr:rowOff>104776</xdr:rowOff>
    </xdr:from>
    <xdr:to>
      <xdr:col>11</xdr:col>
      <xdr:colOff>608330</xdr:colOff>
      <xdr:row>25</xdr:row>
      <xdr:rowOff>165100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6" y="1266826"/>
          <a:ext cx="2722879" cy="38099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12</xdr:row>
      <xdr:rowOff>76200</xdr:rowOff>
    </xdr:from>
    <xdr:to>
      <xdr:col>7</xdr:col>
      <xdr:colOff>742950</xdr:colOff>
      <xdr:row>20</xdr:row>
      <xdr:rowOff>85724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0"/>
  <sheetViews>
    <sheetView tabSelected="1" topLeftCell="A4" zoomScale="90" zoomScaleNormal="90" workbookViewId="0">
      <selection activeCell="D29" sqref="D29:E29"/>
    </sheetView>
  </sheetViews>
  <sheetFormatPr defaultColWidth="11.42578125" defaultRowHeight="15" x14ac:dyDescent="0.25"/>
  <cols>
    <col min="3" max="3" width="14.140625" customWidth="1"/>
  </cols>
  <sheetData>
    <row r="2" spans="2:24" ht="15.75" thickBot="1" x14ac:dyDescent="0.3"/>
    <row r="3" spans="2:24" ht="15.75" thickBot="1" x14ac:dyDescent="0.3">
      <c r="B3" s="36" t="s">
        <v>0</v>
      </c>
      <c r="C3" s="37"/>
      <c r="D3" s="46"/>
      <c r="E3" s="43"/>
      <c r="Q3" s="7"/>
      <c r="R3" s="7"/>
      <c r="S3" s="7"/>
      <c r="T3" s="7"/>
      <c r="U3" s="7"/>
      <c r="V3" s="7"/>
      <c r="W3" s="7"/>
      <c r="X3" s="7"/>
    </row>
    <row r="4" spans="2:24" ht="15.75" thickBot="1" x14ac:dyDescent="0.3">
      <c r="B4" s="42" t="s">
        <v>12</v>
      </c>
      <c r="C4" s="46"/>
      <c r="D4" s="9">
        <v>1.3</v>
      </c>
      <c r="E4" s="10"/>
      <c r="Q4" s="7"/>
      <c r="R4" s="7"/>
      <c r="S4" s="7"/>
      <c r="T4" s="7"/>
      <c r="U4" s="7"/>
      <c r="V4" s="7"/>
      <c r="W4" s="7"/>
      <c r="X4" s="7"/>
    </row>
    <row r="5" spans="2:24" x14ac:dyDescent="0.25">
      <c r="B5" s="24" t="s">
        <v>13</v>
      </c>
      <c r="C5" s="13"/>
      <c r="D5" s="44">
        <v>0.35</v>
      </c>
      <c r="E5" s="45"/>
      <c r="F5" s="1"/>
      <c r="G5" s="1"/>
      <c r="H5" s="1"/>
      <c r="I5" s="1"/>
      <c r="J5" s="1"/>
      <c r="K5" s="1"/>
      <c r="L5" s="1"/>
      <c r="M5" s="1"/>
      <c r="N5" s="1"/>
      <c r="O5" s="2"/>
      <c r="Q5" s="7"/>
      <c r="R5" s="7"/>
      <c r="S5" s="7"/>
      <c r="T5" s="7"/>
      <c r="U5" s="7"/>
      <c r="V5" s="7"/>
      <c r="W5" s="7"/>
      <c r="X5" s="7"/>
    </row>
    <row r="6" spans="2:24" x14ac:dyDescent="0.25">
      <c r="B6" s="24" t="s">
        <v>7</v>
      </c>
      <c r="C6" s="13"/>
      <c r="D6" s="44">
        <v>1200</v>
      </c>
      <c r="E6" s="45"/>
      <c r="F6" s="3"/>
      <c r="G6" s="3"/>
      <c r="H6" s="3"/>
      <c r="I6" s="3"/>
      <c r="J6" s="3"/>
      <c r="K6" s="3"/>
      <c r="L6" s="3"/>
      <c r="M6" s="3"/>
      <c r="N6" s="3"/>
      <c r="O6" s="4"/>
      <c r="Q6" s="7"/>
      <c r="R6" s="7"/>
      <c r="S6" s="7"/>
      <c r="T6" s="7"/>
      <c r="U6" s="7"/>
      <c r="V6" s="7"/>
      <c r="W6" s="7"/>
      <c r="X6" s="7"/>
    </row>
    <row r="7" spans="2:24" ht="15.75" thickBot="1" x14ac:dyDescent="0.3">
      <c r="B7" s="24" t="s">
        <v>8</v>
      </c>
      <c r="C7" s="13"/>
      <c r="D7" s="44">
        <v>2.8</v>
      </c>
      <c r="E7" s="45"/>
      <c r="F7" s="3"/>
      <c r="G7" s="13" t="s">
        <v>1</v>
      </c>
      <c r="H7" s="13"/>
      <c r="I7" s="3"/>
      <c r="J7" s="3"/>
      <c r="K7" s="3"/>
      <c r="L7" s="3"/>
      <c r="M7" s="13" t="s">
        <v>3</v>
      </c>
      <c r="N7" s="13"/>
      <c r="O7" s="4"/>
      <c r="Q7" s="7"/>
      <c r="R7" s="8"/>
      <c r="S7" s="8"/>
      <c r="T7" s="7"/>
      <c r="U7" s="7"/>
      <c r="V7" s="7"/>
      <c r="W7" s="7"/>
      <c r="X7" s="7"/>
    </row>
    <row r="8" spans="2:24" x14ac:dyDescent="0.25">
      <c r="B8" s="24" t="s">
        <v>24</v>
      </c>
      <c r="C8" s="13"/>
      <c r="D8" s="44">
        <v>1.6</v>
      </c>
      <c r="E8" s="45"/>
      <c r="F8" s="3"/>
      <c r="G8" s="26">
        <f>(mu*(m*9.81*(L-a)/L-(0.5*1.225*v^2*Cl*Af*Balance))/2+(m*ay*9.81*h/Tf*kf_kt))</f>
        <v>6907.8770940258164</v>
      </c>
      <c r="H8" s="27"/>
      <c r="I8" s="3"/>
      <c r="J8" s="3"/>
      <c r="K8" s="3"/>
      <c r="L8" s="3"/>
      <c r="M8" s="26">
        <f>(mu*(m*9.81*(L-a)/L-(0.5*1.225*v^2*Cl*Af*Balance))/2-(m*ay*9.81*h/Tf*kf_kt))</f>
        <v>2655.377094025815</v>
      </c>
      <c r="N8" s="27"/>
      <c r="O8" s="4"/>
      <c r="Q8" s="7"/>
      <c r="R8" s="8"/>
      <c r="S8" s="8"/>
      <c r="T8" s="7"/>
      <c r="U8" s="7"/>
      <c r="V8" s="7"/>
      <c r="W8" s="7"/>
      <c r="X8" s="7"/>
    </row>
    <row r="9" spans="2:24" ht="15.75" thickBot="1" x14ac:dyDescent="0.3">
      <c r="B9" s="24" t="s">
        <v>25</v>
      </c>
      <c r="C9" s="13"/>
      <c r="D9" s="11">
        <v>1.5</v>
      </c>
      <c r="E9" s="12"/>
      <c r="F9" s="3"/>
      <c r="G9" s="28"/>
      <c r="H9" s="29"/>
      <c r="I9" s="3"/>
      <c r="J9" s="3"/>
      <c r="K9" s="3"/>
      <c r="L9" s="3"/>
      <c r="M9" s="28"/>
      <c r="N9" s="29"/>
      <c r="O9" s="4"/>
      <c r="Q9" s="7"/>
      <c r="R9" s="7"/>
      <c r="S9" s="7"/>
      <c r="T9" s="7"/>
      <c r="U9" s="7"/>
      <c r="V9" s="7"/>
      <c r="W9" s="7"/>
      <c r="X9" s="7"/>
    </row>
    <row r="10" spans="2:24" x14ac:dyDescent="0.25">
      <c r="B10" s="24" t="s">
        <v>21</v>
      </c>
      <c r="C10" s="13"/>
      <c r="D10" s="13">
        <f>D6*9.81</f>
        <v>11772</v>
      </c>
      <c r="E10" s="25"/>
      <c r="F10" s="3"/>
      <c r="G10" s="54" t="str">
        <f>IF(SUM(G8,M8)&gt;=Ff_rq,"Tracción","Pérdida de tracción")</f>
        <v>Pérdida de tracción</v>
      </c>
      <c r="H10" s="55"/>
      <c r="I10" s="3"/>
      <c r="J10" s="3"/>
      <c r="K10" s="3"/>
      <c r="L10" s="3"/>
      <c r="M10" s="49" t="str">
        <f>IF(SUM(G8,M8)&gt;=Ff_rq,"Tracción",IF(M8&lt;=0,"¡Vuelco!","Pérdida de tracción"))</f>
        <v>Pérdida de tracción</v>
      </c>
      <c r="N10" s="50"/>
      <c r="O10" s="4"/>
      <c r="Q10" s="7"/>
      <c r="R10" s="7"/>
      <c r="S10" s="7"/>
      <c r="T10" s="7"/>
      <c r="U10" s="7"/>
      <c r="V10" s="7"/>
      <c r="W10" s="7"/>
      <c r="X10" s="7"/>
    </row>
    <row r="11" spans="2:24" ht="15.75" thickBot="1" x14ac:dyDescent="0.3">
      <c r="B11" s="24" t="s">
        <v>22</v>
      </c>
      <c r="C11" s="13"/>
      <c r="D11" s="39">
        <f>D10-D12</f>
        <v>6306.4285714285706</v>
      </c>
      <c r="E11" s="40"/>
      <c r="F11" s="3"/>
      <c r="G11" s="56"/>
      <c r="H11" s="57"/>
      <c r="I11" s="3"/>
      <c r="J11" s="3"/>
      <c r="K11" s="3"/>
      <c r="L11" s="3"/>
      <c r="M11" s="51"/>
      <c r="N11" s="52"/>
      <c r="O11" s="4"/>
      <c r="Q11" s="7"/>
      <c r="R11" s="7"/>
      <c r="S11" s="7"/>
      <c r="T11" s="7"/>
      <c r="U11" s="7"/>
      <c r="V11" s="7"/>
      <c r="W11" s="7"/>
      <c r="X11" s="7"/>
    </row>
    <row r="12" spans="2:24" ht="15.75" thickBot="1" x14ac:dyDescent="0.3">
      <c r="B12" s="30" t="s">
        <v>23</v>
      </c>
      <c r="C12" s="31"/>
      <c r="D12" s="34">
        <f>D4/D7*D10</f>
        <v>5465.5714285714294</v>
      </c>
      <c r="E12" s="35"/>
      <c r="F12" s="3"/>
      <c r="G12" s="3"/>
      <c r="H12" s="3"/>
      <c r="I12" s="3"/>
      <c r="J12" s="3"/>
      <c r="K12" s="3"/>
      <c r="L12" s="3"/>
      <c r="M12" s="3"/>
      <c r="N12" s="3"/>
      <c r="O12" s="4"/>
      <c r="Q12" s="7"/>
      <c r="R12" s="7"/>
      <c r="S12" s="7"/>
      <c r="T12" s="7"/>
      <c r="U12" s="7"/>
      <c r="V12" s="7"/>
      <c r="W12" s="7"/>
      <c r="X12" s="7"/>
    </row>
    <row r="13" spans="2:24" ht="15.75" thickBot="1" x14ac:dyDescent="0.3">
      <c r="B13" s="15" t="s">
        <v>30</v>
      </c>
      <c r="C13" s="16"/>
      <c r="D13" s="16"/>
      <c r="E13" s="17"/>
      <c r="F13" s="3"/>
      <c r="G13" s="3"/>
      <c r="H13" s="3"/>
      <c r="I13" s="3"/>
      <c r="J13" s="3"/>
      <c r="K13" s="3"/>
      <c r="L13" s="3"/>
      <c r="M13" s="13" t="s">
        <v>28</v>
      </c>
      <c r="N13" s="13"/>
      <c r="O13" s="4"/>
      <c r="Q13" s="7"/>
      <c r="R13" s="7"/>
      <c r="S13" s="7"/>
      <c r="T13" s="7"/>
      <c r="U13" s="7"/>
      <c r="V13" s="7"/>
      <c r="W13" s="7"/>
      <c r="X13" s="7"/>
    </row>
    <row r="14" spans="2:24" x14ac:dyDescent="0.25">
      <c r="B14" s="18" t="s">
        <v>31</v>
      </c>
      <c r="C14" s="19"/>
      <c r="D14" s="9">
        <v>0.52</v>
      </c>
      <c r="E14" s="10"/>
      <c r="F14" s="3"/>
      <c r="G14" s="3"/>
      <c r="H14" s="3"/>
      <c r="I14" s="3"/>
      <c r="J14" s="3"/>
      <c r="K14" s="3"/>
      <c r="L14" s="3"/>
      <c r="M14" s="14">
        <f>m*ay*9.81*(L-a)/L</f>
        <v>10013.736263736264</v>
      </c>
      <c r="N14" s="14"/>
      <c r="O14" s="4"/>
      <c r="Q14" s="7"/>
      <c r="R14" s="7"/>
      <c r="S14" s="7"/>
      <c r="T14" s="7"/>
      <c r="U14" s="7"/>
      <c r="V14" s="7"/>
      <c r="W14" s="7"/>
      <c r="X14" s="7"/>
    </row>
    <row r="15" spans="2:24" ht="15.75" thickBot="1" x14ac:dyDescent="0.3">
      <c r="B15" s="22" t="s">
        <v>32</v>
      </c>
      <c r="C15" s="23"/>
      <c r="D15" s="47">
        <f>1-D14</f>
        <v>0.48</v>
      </c>
      <c r="E15" s="48"/>
      <c r="F15" s="3"/>
      <c r="G15" s="3"/>
      <c r="H15" s="3"/>
      <c r="I15" s="3"/>
      <c r="J15" s="3"/>
      <c r="K15" s="3"/>
      <c r="L15" s="3"/>
      <c r="M15" s="53"/>
      <c r="N15" s="53"/>
      <c r="O15" s="4"/>
      <c r="Q15" s="7"/>
      <c r="R15" s="7"/>
      <c r="S15" s="7"/>
      <c r="T15" s="7"/>
      <c r="U15" s="7"/>
      <c r="V15" s="7"/>
      <c r="W15" s="7"/>
      <c r="X15" s="7"/>
    </row>
    <row r="16" spans="2:24" ht="15.75" thickBot="1" x14ac:dyDescent="0.3">
      <c r="B16" s="36" t="s">
        <v>17</v>
      </c>
      <c r="C16" s="37"/>
      <c r="D16" s="37"/>
      <c r="E16" s="41"/>
      <c r="F16" s="3"/>
      <c r="G16" s="3"/>
      <c r="H16" s="3"/>
      <c r="I16" s="3"/>
      <c r="J16" s="3"/>
      <c r="K16" s="3"/>
      <c r="L16" s="3"/>
      <c r="M16" s="39"/>
      <c r="N16" s="13"/>
      <c r="O16" s="4"/>
      <c r="Q16" s="7"/>
      <c r="R16" s="7"/>
      <c r="S16" s="7"/>
      <c r="T16" s="7"/>
      <c r="U16" s="7"/>
      <c r="V16" s="7"/>
      <c r="W16" s="7"/>
      <c r="X16" s="7"/>
    </row>
    <row r="17" spans="2:24" x14ac:dyDescent="0.25">
      <c r="B17" s="42" t="s">
        <v>9</v>
      </c>
      <c r="C17" s="43"/>
      <c r="D17" s="9">
        <v>-1</v>
      </c>
      <c r="E17" s="10"/>
      <c r="F17" s="3"/>
      <c r="G17" s="3"/>
      <c r="H17" s="3"/>
      <c r="I17" s="3"/>
      <c r="J17" s="3"/>
      <c r="K17" s="3"/>
      <c r="L17" s="3"/>
      <c r="M17" s="39"/>
      <c r="N17" s="13"/>
      <c r="O17" s="4"/>
      <c r="Q17" s="7"/>
      <c r="R17" s="7"/>
      <c r="S17" s="7"/>
      <c r="T17" s="7"/>
      <c r="U17" s="7"/>
      <c r="V17" s="7"/>
      <c r="W17" s="7"/>
      <c r="X17" s="7"/>
    </row>
    <row r="18" spans="2:24" x14ac:dyDescent="0.25">
      <c r="B18" s="24" t="s">
        <v>10</v>
      </c>
      <c r="C18" s="25"/>
      <c r="D18" s="44">
        <v>1.8</v>
      </c>
      <c r="E18" s="45"/>
      <c r="F18" s="3"/>
      <c r="G18" s="3"/>
      <c r="H18" s="3"/>
      <c r="I18" s="3"/>
      <c r="J18" s="3"/>
      <c r="K18" s="3"/>
      <c r="L18" s="3"/>
      <c r="M18" s="39"/>
      <c r="N18" s="13"/>
      <c r="O18" s="4"/>
      <c r="Q18" s="7"/>
      <c r="R18" s="7"/>
      <c r="S18" s="7"/>
      <c r="T18" s="7"/>
      <c r="U18" s="7"/>
      <c r="V18" s="7"/>
      <c r="W18" s="7"/>
      <c r="X18" s="7"/>
    </row>
    <row r="19" spans="2:24" ht="15.75" thickBot="1" x14ac:dyDescent="0.3">
      <c r="B19" s="24" t="s">
        <v>11</v>
      </c>
      <c r="C19" s="25"/>
      <c r="D19" s="20">
        <v>0.45</v>
      </c>
      <c r="E19" s="21"/>
      <c r="F19" s="3"/>
      <c r="G19" s="3"/>
      <c r="H19" s="3"/>
      <c r="I19" s="3"/>
      <c r="J19" s="3"/>
      <c r="K19" s="3"/>
      <c r="L19" s="3"/>
      <c r="M19" s="13" t="s">
        <v>29</v>
      </c>
      <c r="N19" s="13"/>
      <c r="O19" s="4"/>
      <c r="Q19" s="7"/>
      <c r="R19" s="7"/>
      <c r="S19" s="7"/>
      <c r="T19" s="7"/>
      <c r="U19" s="7"/>
      <c r="V19" s="7"/>
      <c r="W19" s="7"/>
      <c r="X19" s="7"/>
    </row>
    <row r="20" spans="2:24" x14ac:dyDescent="0.25">
      <c r="B20" s="24" t="s">
        <v>19</v>
      </c>
      <c r="C20" s="13"/>
      <c r="D20" s="46">
        <f>0.5*1.225*$D$28^2*$D$18*$D$17*D19</f>
        <v>-1004.653125</v>
      </c>
      <c r="E20" s="43"/>
      <c r="F20" s="3"/>
      <c r="G20" s="3"/>
      <c r="H20" s="3"/>
      <c r="I20" s="3"/>
      <c r="J20" s="3"/>
      <c r="K20" s="3"/>
      <c r="L20" s="3"/>
      <c r="M20" s="14">
        <f>m*ay*9.81*a/L</f>
        <v>8678.5714285714312</v>
      </c>
      <c r="N20" s="14"/>
      <c r="O20" s="4"/>
      <c r="Q20" s="7"/>
      <c r="R20" s="7"/>
      <c r="S20" s="7"/>
      <c r="T20" s="7"/>
      <c r="U20" s="7"/>
      <c r="V20" s="7"/>
      <c r="W20" s="7"/>
      <c r="X20" s="7"/>
    </row>
    <row r="21" spans="2:24" ht="15.75" thickBot="1" x14ac:dyDescent="0.3">
      <c r="B21" s="30" t="s">
        <v>20</v>
      </c>
      <c r="C21" s="31"/>
      <c r="D21" s="31">
        <f>0.5*1.225*$D$28^2*$D$18*$D$17*(1-D19)</f>
        <v>-1227.9093750000002</v>
      </c>
      <c r="E21" s="38"/>
      <c r="F21" s="3"/>
      <c r="G21" s="3"/>
      <c r="H21" s="3"/>
      <c r="I21" s="3"/>
      <c r="J21" s="3"/>
      <c r="K21" s="3"/>
      <c r="L21" s="3"/>
      <c r="M21" s="3"/>
      <c r="N21" s="3"/>
      <c r="O21" s="4"/>
      <c r="Q21" s="7"/>
      <c r="R21" s="7"/>
      <c r="S21" s="7"/>
      <c r="T21" s="7"/>
      <c r="U21" s="7"/>
      <c r="V21" s="7"/>
      <c r="W21" s="7"/>
      <c r="X21" s="7"/>
    </row>
    <row r="22" spans="2:24" ht="15.75" thickBot="1" x14ac:dyDescent="0.3">
      <c r="B22" s="36" t="s">
        <v>18</v>
      </c>
      <c r="C22" s="37"/>
      <c r="D22" s="37"/>
      <c r="E22" s="41"/>
      <c r="F22" s="3"/>
      <c r="G22" s="13" t="s">
        <v>2</v>
      </c>
      <c r="H22" s="13"/>
      <c r="I22" s="3"/>
      <c r="J22" s="3"/>
      <c r="K22" s="3"/>
      <c r="L22" s="3"/>
      <c r="M22" s="13" t="s">
        <v>4</v>
      </c>
      <c r="N22" s="13"/>
      <c r="O22" s="4"/>
      <c r="Q22" s="7"/>
      <c r="R22" s="7"/>
      <c r="S22" s="7"/>
      <c r="T22" s="7"/>
      <c r="U22" s="7"/>
      <c r="V22" s="7"/>
      <c r="W22" s="7"/>
      <c r="X22" s="7"/>
    </row>
    <row r="23" spans="2:24" ht="15.75" thickBot="1" x14ac:dyDescent="0.3">
      <c r="B23" s="24" t="s">
        <v>33</v>
      </c>
      <c r="C23" s="13"/>
      <c r="D23" s="13">
        <f>(a_1*(((m*9.81*(L-a)/L-(0.5*1.225*v^2*Cl*Af*Balance))/2+(m*ay*9.81*h/Tf*kf_kt))/1000)+a_0)/1000</f>
        <v>1.3080491485580357</v>
      </c>
      <c r="E23" s="25"/>
      <c r="F23" s="3"/>
      <c r="G23" s="26">
        <f>(mu*(m*9.81*a/L-(0.5*1.225*v^2*Cl*Af*(1-Balance)))/2+(m*ay*9.81*h/Tr*kr_kt))</f>
        <v>6471.2393945390431</v>
      </c>
      <c r="H23" s="27"/>
      <c r="I23" s="3"/>
      <c r="J23" s="3"/>
      <c r="K23" s="3"/>
      <c r="L23" s="3"/>
      <c r="M23" s="26">
        <f>(mu*(m*9.81*a/L-(0.5*1.225*v^2*Cl*Af*(1-Balance)))/2-(m*ay*9.81*h/Tr*kr_kt))</f>
        <v>2284.1624714621207</v>
      </c>
      <c r="N23" s="27"/>
      <c r="O23" s="4"/>
      <c r="Q23" s="7"/>
      <c r="R23" s="7"/>
      <c r="S23" s="7"/>
      <c r="T23" s="7"/>
      <c r="U23" s="7"/>
      <c r="V23" s="7"/>
      <c r="W23" s="7"/>
      <c r="X23" s="7"/>
    </row>
    <row r="24" spans="2:24" ht="15.75" thickBot="1" x14ac:dyDescent="0.3">
      <c r="B24" s="24" t="s">
        <v>26</v>
      </c>
      <c r="C24" s="13"/>
      <c r="D24" s="9">
        <v>1551</v>
      </c>
      <c r="E24" s="10"/>
      <c r="F24" s="3"/>
      <c r="G24" s="28"/>
      <c r="H24" s="29"/>
      <c r="I24" s="3"/>
      <c r="J24" s="3"/>
      <c r="K24" s="3"/>
      <c r="L24" s="3"/>
      <c r="M24" s="28"/>
      <c r="N24" s="29"/>
      <c r="O24" s="4"/>
      <c r="Q24" s="7"/>
      <c r="R24" s="7"/>
      <c r="S24" s="7"/>
      <c r="T24" s="7"/>
      <c r="U24" s="7"/>
      <c r="V24" s="7"/>
      <c r="W24" s="7"/>
      <c r="X24" s="7"/>
    </row>
    <row r="25" spans="2:24" ht="15.75" thickBot="1" x14ac:dyDescent="0.3">
      <c r="B25" s="24" t="s">
        <v>27</v>
      </c>
      <c r="C25" s="13"/>
      <c r="D25" s="11">
        <v>-42.02</v>
      </c>
      <c r="E25" s="12"/>
      <c r="F25" s="3"/>
      <c r="G25" s="49" t="str">
        <f>IF(SUM(G23,M23)&gt;=Fr_rq,"Tracción","Pérdida de tracción")</f>
        <v>Tracción</v>
      </c>
      <c r="H25" s="50"/>
      <c r="I25" s="3"/>
      <c r="J25" s="3"/>
      <c r="K25" s="3"/>
      <c r="L25" s="3"/>
      <c r="M25" s="49" t="str">
        <f>IF(SUM(G23,M23)&gt;=Fr_rq,"Tracción",IF(M23&lt;=0,"¡Vuelco!","Pérdida de tracción"))</f>
        <v>Tracción</v>
      </c>
      <c r="N25" s="50"/>
      <c r="O25" s="4"/>
      <c r="Q25" s="7"/>
      <c r="R25" s="7"/>
      <c r="S25" s="7"/>
      <c r="T25" s="7"/>
      <c r="U25" s="7"/>
      <c r="V25" s="7"/>
      <c r="W25" s="7"/>
      <c r="X25" s="7"/>
    </row>
    <row r="26" spans="2:24" ht="15.75" thickBot="1" x14ac:dyDescent="0.3">
      <c r="B26" s="36" t="s">
        <v>5</v>
      </c>
      <c r="C26" s="37"/>
      <c r="D26" s="31"/>
      <c r="E26" s="38"/>
      <c r="F26" s="3"/>
      <c r="G26" s="51"/>
      <c r="H26" s="52"/>
      <c r="I26" s="3"/>
      <c r="J26" s="3"/>
      <c r="K26" s="3"/>
      <c r="L26" s="3"/>
      <c r="M26" s="51"/>
      <c r="N26" s="52"/>
      <c r="O26" s="4"/>
      <c r="Q26" s="7"/>
      <c r="R26" s="7"/>
      <c r="S26" s="7"/>
      <c r="T26" s="7"/>
      <c r="U26" s="7"/>
      <c r="V26" s="7"/>
      <c r="W26" s="7"/>
      <c r="X26" s="7"/>
    </row>
    <row r="27" spans="2:24" x14ac:dyDescent="0.25">
      <c r="B27" s="24" t="s">
        <v>6</v>
      </c>
      <c r="C27" s="13"/>
      <c r="D27" s="9">
        <v>130</v>
      </c>
      <c r="E27" s="10"/>
      <c r="F27" s="3"/>
      <c r="G27" s="3"/>
      <c r="H27" s="3"/>
      <c r="I27" s="3"/>
      <c r="J27" s="3"/>
      <c r="K27" s="3"/>
      <c r="L27" s="3"/>
      <c r="M27" s="3"/>
      <c r="N27" s="3"/>
      <c r="O27" s="4"/>
      <c r="Q27" s="7"/>
      <c r="R27" s="7"/>
      <c r="S27" s="7"/>
      <c r="T27" s="7"/>
      <c r="U27" s="7"/>
      <c r="V27" s="7"/>
      <c r="W27" s="7"/>
      <c r="X27" s="7"/>
    </row>
    <row r="28" spans="2:24" ht="15.75" thickBot="1" x14ac:dyDescent="0.3">
      <c r="B28" s="24" t="s">
        <v>14</v>
      </c>
      <c r="C28" s="25"/>
      <c r="D28" s="11">
        <v>45</v>
      </c>
      <c r="E28" s="12"/>
      <c r="F28" s="5"/>
      <c r="G28" s="5"/>
      <c r="H28" s="5"/>
      <c r="I28" s="5"/>
      <c r="J28" s="5"/>
      <c r="K28" s="5"/>
      <c r="L28" s="5"/>
      <c r="M28" s="5"/>
      <c r="N28" s="5"/>
      <c r="O28" s="6"/>
      <c r="Q28" s="7"/>
      <c r="R28" s="7"/>
      <c r="S28" s="7"/>
      <c r="T28" s="7"/>
      <c r="U28" s="7"/>
      <c r="V28" s="7"/>
      <c r="W28" s="7"/>
      <c r="X28" s="7"/>
    </row>
    <row r="29" spans="2:24" x14ac:dyDescent="0.25">
      <c r="B29" s="24" t="s">
        <v>16</v>
      </c>
      <c r="C29" s="13"/>
      <c r="D29" s="32">
        <f>D28^2/(D27*9.81)</f>
        <v>1.5878616796047988</v>
      </c>
      <c r="E29" s="33"/>
      <c r="Q29" s="7"/>
      <c r="R29" s="7"/>
      <c r="S29" s="7"/>
      <c r="T29" s="7"/>
      <c r="U29" s="7"/>
      <c r="V29" s="7"/>
      <c r="W29" s="7"/>
      <c r="X29" s="7"/>
    </row>
    <row r="30" spans="2:24" ht="15.75" thickBot="1" x14ac:dyDescent="0.3">
      <c r="B30" s="30" t="s">
        <v>15</v>
      </c>
      <c r="C30" s="31"/>
      <c r="D30" s="34">
        <f>D6*D28^2/D27</f>
        <v>18692.307692307691</v>
      </c>
      <c r="E30" s="35"/>
      <c r="Q30" s="7"/>
      <c r="R30" s="7"/>
      <c r="S30" s="7"/>
      <c r="T30" s="7"/>
      <c r="U30" s="7"/>
      <c r="V30" s="7"/>
      <c r="W30" s="7"/>
      <c r="X30" s="7"/>
    </row>
  </sheetData>
  <mergeCells count="71">
    <mergeCell ref="M15:N15"/>
    <mergeCell ref="M16:N16"/>
    <mergeCell ref="B3:E3"/>
    <mergeCell ref="G8:H9"/>
    <mergeCell ref="G10:H11"/>
    <mergeCell ref="G7:H7"/>
    <mergeCell ref="M7:N7"/>
    <mergeCell ref="M8:N9"/>
    <mergeCell ref="M10:N11"/>
    <mergeCell ref="B8:C8"/>
    <mergeCell ref="B7:C7"/>
    <mergeCell ref="B6:C6"/>
    <mergeCell ref="B9:C9"/>
    <mergeCell ref="D9:E9"/>
    <mergeCell ref="B4:C4"/>
    <mergeCell ref="B5:C5"/>
    <mergeCell ref="G25:H26"/>
    <mergeCell ref="M22:N22"/>
    <mergeCell ref="M23:N24"/>
    <mergeCell ref="M25:N26"/>
    <mergeCell ref="M17:N17"/>
    <mergeCell ref="M18:N18"/>
    <mergeCell ref="D4:E4"/>
    <mergeCell ref="D5:E5"/>
    <mergeCell ref="D20:E20"/>
    <mergeCell ref="B11:C11"/>
    <mergeCell ref="D8:E8"/>
    <mergeCell ref="D6:E6"/>
    <mergeCell ref="D7:E7"/>
    <mergeCell ref="D10:E10"/>
    <mergeCell ref="D18:E18"/>
    <mergeCell ref="D15:E15"/>
    <mergeCell ref="B16:E16"/>
    <mergeCell ref="B26:E26"/>
    <mergeCell ref="B27:C27"/>
    <mergeCell ref="D27:E27"/>
    <mergeCell ref="B10:C10"/>
    <mergeCell ref="B12:C12"/>
    <mergeCell ref="D11:E11"/>
    <mergeCell ref="D12:E12"/>
    <mergeCell ref="B22:E22"/>
    <mergeCell ref="B17:C17"/>
    <mergeCell ref="D17:E17"/>
    <mergeCell ref="D23:E23"/>
    <mergeCell ref="D21:E21"/>
    <mergeCell ref="B21:C21"/>
    <mergeCell ref="B23:C23"/>
    <mergeCell ref="B24:C24"/>
    <mergeCell ref="B25:C25"/>
    <mergeCell ref="B29:C29"/>
    <mergeCell ref="B30:C30"/>
    <mergeCell ref="D29:E29"/>
    <mergeCell ref="D30:E30"/>
    <mergeCell ref="B28:C28"/>
    <mergeCell ref="D28:E28"/>
    <mergeCell ref="D24:E24"/>
    <mergeCell ref="D25:E25"/>
    <mergeCell ref="M13:N13"/>
    <mergeCell ref="M14:N14"/>
    <mergeCell ref="M19:N19"/>
    <mergeCell ref="M20:N20"/>
    <mergeCell ref="B13:E13"/>
    <mergeCell ref="B14:C14"/>
    <mergeCell ref="D14:E14"/>
    <mergeCell ref="D19:E19"/>
    <mergeCell ref="B15:C15"/>
    <mergeCell ref="B18:C18"/>
    <mergeCell ref="B19:C19"/>
    <mergeCell ref="B20:C20"/>
    <mergeCell ref="G22:H22"/>
    <mergeCell ref="G23:H24"/>
  </mergeCells>
  <conditionalFormatting sqref="G10 M10 G25 M25">
    <cfRule type="containsText" dxfId="2" priority="2" operator="containsText" text="Pérdida de tracción">
      <formula>NOT(ISERROR(SEARCH("Pérdida de tracción",G10)))</formula>
    </cfRule>
    <cfRule type="containsText" dxfId="1" priority="3" operator="containsText" text="Tracción">
      <formula>NOT(ISERROR(SEARCH("Tracción",G10)))</formula>
    </cfRule>
  </conditionalFormatting>
  <conditionalFormatting sqref="M10 M25">
    <cfRule type="containsText" dxfId="0" priority="1" operator="containsText" text="¡Vuelco!">
      <formula>NOT(ISERROR(SEARCH("¡Vuelco!",M10)))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Hoja1</vt:lpstr>
      <vt:lpstr>Hoja2</vt:lpstr>
      <vt:lpstr>Hoja3</vt:lpstr>
      <vt:lpstr>a</vt:lpstr>
      <vt:lpstr>a_0</vt:lpstr>
      <vt:lpstr>a_1</vt:lpstr>
      <vt:lpstr>Af</vt:lpstr>
      <vt:lpstr>ay</vt:lpstr>
      <vt:lpstr>Balance</vt:lpstr>
      <vt:lpstr>Cl</vt:lpstr>
      <vt:lpstr>Ff_rq</vt:lpstr>
      <vt:lpstr>FLf</vt:lpstr>
      <vt:lpstr>FLt</vt:lpstr>
      <vt:lpstr>Fr_rq</vt:lpstr>
      <vt:lpstr>Fy</vt:lpstr>
      <vt:lpstr>h</vt:lpstr>
      <vt:lpstr>kf_kt</vt:lpstr>
      <vt:lpstr>kr_kt</vt:lpstr>
      <vt:lpstr>L</vt:lpstr>
      <vt:lpstr>m</vt:lpstr>
      <vt:lpstr>mu</vt:lpstr>
      <vt:lpstr>Radio</vt:lpstr>
      <vt:lpstr>Tf</vt:lpstr>
      <vt:lpstr>Tr</vt:lpstr>
      <vt:lpstr>v</vt:lpstr>
      <vt:lpstr>Wf</vt:lpstr>
      <vt:lpstr>Wr</vt:lpstr>
      <vt:lpstr>Wt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TIMOTEO</dc:creator>
  <cp:lastModifiedBy>tim</cp:lastModifiedBy>
  <dcterms:created xsi:type="dcterms:W3CDTF">2014-12-16T11:40:44Z</dcterms:created>
  <dcterms:modified xsi:type="dcterms:W3CDTF">2022-12-02T15:12:02Z</dcterms:modified>
</cp:coreProperties>
</file>