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5600" windowHeight="7365" activeTab="3"/>
  </bookViews>
  <sheets>
    <sheet name="Hoja1" sheetId="1" r:id="rId1"/>
    <sheet name="lateral" sheetId="2" r:id="rId2"/>
    <sheet name="long" sheetId="3" r:id="rId3"/>
    <sheet name="align" sheetId="4" r:id="rId4"/>
  </sheets>
  <definedNames>
    <definedName name="_c0">align!$C$2</definedName>
    <definedName name="_c1">align!$C$3</definedName>
    <definedName name="a0_">lateral!$C$13</definedName>
    <definedName name="a1_">lateral!$C$14</definedName>
    <definedName name="a10_">lateral!$C$23</definedName>
    <definedName name="a11_">lateral!$C$24</definedName>
    <definedName name="a12_">lateral!$C$25</definedName>
    <definedName name="a13_">lateral!$C$26</definedName>
    <definedName name="a2_">lateral!$C$15</definedName>
    <definedName name="a3_">lateral!$C$16</definedName>
    <definedName name="a4_">lateral!$C$17</definedName>
    <definedName name="a5_">lateral!$C$18</definedName>
    <definedName name="a6_">lateral!$C$19</definedName>
    <definedName name="a7_">lateral!$C$20</definedName>
    <definedName name="a8_">lateral!$C$21</definedName>
    <definedName name="a9_">lateral!$C$22</definedName>
    <definedName name="b0_">long!$C$17</definedName>
    <definedName name="b1_">long!$C$18</definedName>
    <definedName name="b10_">long!$C$27</definedName>
    <definedName name="b2_">long!$C$19</definedName>
    <definedName name="b3_">long!$C$20</definedName>
    <definedName name="b4_">long!$C$21</definedName>
    <definedName name="b5_">long!$C$22</definedName>
    <definedName name="b6_">long!$C$23</definedName>
    <definedName name="b7_">long!$C$24</definedName>
    <definedName name="b8_">long!$C$25</definedName>
    <definedName name="b9_">long!$C$26</definedName>
    <definedName name="bcdx">long!$G$30</definedName>
    <definedName name="BCDy">lateral!$G$30</definedName>
    <definedName name="bx">long!$J$30</definedName>
    <definedName name="By">lateral!$J$30</definedName>
    <definedName name="camber">lateral!$B$31</definedName>
    <definedName name="cx">long!$H$30</definedName>
    <definedName name="Cy">lateral!$H$30</definedName>
    <definedName name="dx">long!$E$30</definedName>
    <definedName name="dy">lateral!$E$30</definedName>
    <definedName name="ex">long!$I$30</definedName>
    <definedName name="Ey">lateral!$I$30</definedName>
    <definedName name="FZ">lateral!$C$31</definedName>
    <definedName name="mu_x">long!$F$30</definedName>
    <definedName name="mu_y">lateral!$F$30</definedName>
    <definedName name="shx">long!$K$30</definedName>
    <definedName name="Shy">lateral!$K$30</definedName>
    <definedName name="svx">long!$L$30</definedName>
    <definedName name="Svy">lateral!$L$30</definedName>
    <definedName name="x">lateral!$B$36:$B$66</definedName>
  </definedNames>
  <calcPr calcId="152511"/>
</workbook>
</file>

<file path=xl/calcChain.xml><?xml version="1.0" encoding="utf-8"?>
<calcChain xmlns="http://schemas.openxmlformats.org/spreadsheetml/2006/main">
  <c r="L22" i="4" l="1"/>
  <c r="K22" i="4"/>
  <c r="I22" i="4"/>
  <c r="H22" i="4"/>
  <c r="G22" i="4"/>
  <c r="F22" i="4"/>
  <c r="H35" i="3"/>
  <c r="H36" i="3"/>
  <c r="H37" i="3"/>
  <c r="H38" i="3"/>
  <c r="H39" i="3"/>
  <c r="H40" i="3"/>
  <c r="H41" i="3"/>
  <c r="H42" i="3"/>
  <c r="H43" i="3"/>
  <c r="H44" i="3"/>
  <c r="H34" i="3"/>
  <c r="H36" i="2"/>
  <c r="H37" i="2"/>
  <c r="H38" i="2"/>
  <c r="H39" i="2"/>
  <c r="H40" i="2"/>
  <c r="H41" i="2"/>
  <c r="H42" i="2"/>
  <c r="H43" i="2"/>
  <c r="H44" i="2"/>
  <c r="H45" i="2"/>
  <c r="H35" i="2"/>
  <c r="K30" i="3"/>
  <c r="C83" i="3" s="1"/>
  <c r="G30" i="3"/>
  <c r="I30" i="3"/>
  <c r="H30" i="3"/>
  <c r="F30" i="3"/>
  <c r="E30" i="3" s="1"/>
  <c r="I30" i="2"/>
  <c r="G30" i="2"/>
  <c r="L30" i="2"/>
  <c r="K30" i="2"/>
  <c r="C37" i="2" s="1"/>
  <c r="H30" i="2"/>
  <c r="F30" i="2"/>
  <c r="E30" i="2" s="1"/>
  <c r="J22" i="4" l="1"/>
  <c r="E22" i="4"/>
  <c r="C45" i="3"/>
  <c r="J30" i="2"/>
  <c r="D37" i="2" s="1"/>
  <c r="E37" i="2" s="1"/>
  <c r="C36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43" i="3"/>
  <c r="C42" i="3"/>
  <c r="C41" i="3"/>
  <c r="C40" i="3"/>
  <c r="C39" i="3"/>
  <c r="C38" i="3"/>
  <c r="C37" i="3"/>
  <c r="C36" i="3"/>
  <c r="C35" i="3"/>
  <c r="C75" i="3"/>
  <c r="C76" i="3"/>
  <c r="C77" i="3"/>
  <c r="C78" i="3"/>
  <c r="C79" i="3"/>
  <c r="C80" i="3"/>
  <c r="C81" i="3"/>
  <c r="C82" i="3"/>
  <c r="J30" i="3"/>
  <c r="D83" i="3" s="1"/>
  <c r="E83" i="3" s="1"/>
  <c r="C44" i="3"/>
  <c r="C74" i="3"/>
  <c r="D74" i="3" s="1"/>
  <c r="E74" i="3" s="1"/>
  <c r="C73" i="3"/>
  <c r="D73" i="3" s="1"/>
  <c r="E73" i="3" s="1"/>
  <c r="C72" i="3"/>
  <c r="D72" i="3" s="1"/>
  <c r="E72" i="3" s="1"/>
  <c r="C71" i="3"/>
  <c r="D71" i="3" s="1"/>
  <c r="E71" i="3" s="1"/>
  <c r="C70" i="3"/>
  <c r="D70" i="3" s="1"/>
  <c r="E70" i="3" s="1"/>
  <c r="C69" i="3"/>
  <c r="D69" i="3" s="1"/>
  <c r="E69" i="3" s="1"/>
  <c r="C68" i="3"/>
  <c r="D68" i="3" s="1"/>
  <c r="E68" i="3" s="1"/>
  <c r="C67" i="3"/>
  <c r="D67" i="3" s="1"/>
  <c r="E67" i="3" s="1"/>
  <c r="C66" i="3"/>
  <c r="D66" i="3" s="1"/>
  <c r="E66" i="3" s="1"/>
  <c r="C65" i="3"/>
  <c r="D65" i="3" s="1"/>
  <c r="E65" i="3" s="1"/>
  <c r="C64" i="3"/>
  <c r="C63" i="3"/>
  <c r="C62" i="3"/>
  <c r="C61" i="3"/>
  <c r="C60" i="3"/>
  <c r="C59" i="3"/>
  <c r="D59" i="3" s="1"/>
  <c r="E59" i="3" s="1"/>
  <c r="C58" i="3"/>
  <c r="D58" i="3" s="1"/>
  <c r="E58" i="3" s="1"/>
  <c r="C57" i="3"/>
  <c r="D57" i="3" s="1"/>
  <c r="E57" i="3" s="1"/>
  <c r="C56" i="3"/>
  <c r="D56" i="3" s="1"/>
  <c r="E56" i="3" s="1"/>
  <c r="C55" i="3"/>
  <c r="D55" i="3" s="1"/>
  <c r="E55" i="3" s="1"/>
  <c r="C54" i="3"/>
  <c r="D54" i="3" s="1"/>
  <c r="E54" i="3" s="1"/>
  <c r="C53" i="3"/>
  <c r="D53" i="3" s="1"/>
  <c r="E53" i="3" s="1"/>
  <c r="C52" i="3"/>
  <c r="D52" i="3" s="1"/>
  <c r="E52" i="3" s="1"/>
  <c r="C51" i="3"/>
  <c r="D51" i="3" s="1"/>
  <c r="E51" i="3" s="1"/>
  <c r="C50" i="3"/>
  <c r="D50" i="3" s="1"/>
  <c r="E50" i="3" s="1"/>
  <c r="C49" i="3"/>
  <c r="D49" i="3" s="1"/>
  <c r="E49" i="3" s="1"/>
  <c r="C48" i="3"/>
  <c r="C47" i="3"/>
  <c r="C46" i="3"/>
  <c r="D46" i="3" l="1"/>
  <c r="E46" i="3" s="1"/>
  <c r="D47" i="3"/>
  <c r="E47" i="3" s="1"/>
  <c r="D44" i="3"/>
  <c r="E44" i="3" s="1"/>
  <c r="D45" i="3"/>
  <c r="E45" i="3" s="1"/>
  <c r="D62" i="3"/>
  <c r="E62" i="3" s="1"/>
  <c r="D63" i="3"/>
  <c r="E63" i="3" s="1"/>
  <c r="D48" i="3"/>
  <c r="E48" i="3" s="1"/>
  <c r="D64" i="3"/>
  <c r="E64" i="3" s="1"/>
  <c r="D60" i="3"/>
  <c r="E60" i="3" s="1"/>
  <c r="D61" i="3"/>
  <c r="E61" i="3" s="1"/>
  <c r="D36" i="2"/>
  <c r="E36" i="2" s="1"/>
  <c r="D66" i="2"/>
  <c r="E66" i="2" s="1"/>
  <c r="D65" i="2"/>
  <c r="E65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</calcChain>
</file>

<file path=xl/sharedStrings.xml><?xml version="1.0" encoding="utf-8"?>
<sst xmlns="http://schemas.openxmlformats.org/spreadsheetml/2006/main" count="148" uniqueCount="82">
  <si>
    <t xml:space="preserve"> </t>
  </si>
  <si>
    <t>tyre: 235/45/18</t>
  </si>
  <si>
    <t>lat coeff</t>
  </si>
  <si>
    <t>long coeff</t>
  </si>
  <si>
    <t>align coeff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</si>
  <si>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</si>
  <si>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</si>
  <si>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</si>
  <si>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</si>
  <si>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</si>
  <si>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</si>
  <si>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</si>
  <si>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</si>
  <si>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</si>
  <si>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</si>
  <si>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</si>
  <si>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</si>
  <si>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</si>
  <si>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</si>
  <si>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b0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</si>
  <si>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</si>
  <si>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</si>
  <si>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</si>
  <si>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</si>
  <si>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</si>
  <si>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</si>
  <si>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</si>
  <si>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</si>
  <si>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</si>
  <si>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</si>
  <si>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c0</t>
  </si>
  <si>
    <t>c1</t>
  </si>
  <si>
    <t>c2</t>
  </si>
  <si>
    <t>c3</t>
  </si>
  <si>
    <t>c4</t>
  </si>
  <si>
    <t>c5</t>
  </si>
  <si>
    <t>c6c</t>
  </si>
  <si>
    <t>c7c</t>
  </si>
  <si>
    <t>c8</t>
  </si>
  <si>
    <t>c11</t>
  </si>
  <si>
    <t>c12</t>
  </si>
  <si>
    <t>c13</t>
  </si>
  <si>
    <t>c14</t>
  </si>
  <si>
    <t>c17</t>
  </si>
  <si>
    <t>c9</t>
  </si>
  <si>
    <t>c10</t>
  </si>
  <si>
    <t>c15</t>
  </si>
  <si>
    <t>c16</t>
  </si>
  <si>
    <t>camber</t>
  </si>
  <si>
    <t>FZ</t>
  </si>
  <si>
    <t>(deg)</t>
  </si>
  <si>
    <t>(Kn)</t>
  </si>
  <si>
    <t>Slip angle (deg)</t>
  </si>
  <si>
    <t>Slip angle (adjusted)(deg)</t>
  </si>
  <si>
    <t>FY (N)</t>
  </si>
  <si>
    <t>FY (adjusted)</t>
  </si>
  <si>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y</t>
    </r>
  </si>
  <si>
    <r>
      <rPr>
        <b/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y</t>
    </r>
  </si>
  <si>
    <r>
      <rPr>
        <b/>
        <sz val="11"/>
        <color theme="1"/>
        <rFont val="Calibri"/>
        <family val="2"/>
        <scheme val="minor"/>
      </rPr>
      <t>BCD</t>
    </r>
    <r>
      <rPr>
        <sz val="11"/>
        <color theme="1"/>
        <rFont val="Calibri"/>
        <family val="2"/>
        <scheme val="minor"/>
      </rPr>
      <t>y</t>
    </r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</si>
  <si>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y</t>
    </r>
  </si>
  <si>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y</t>
    </r>
  </si>
  <si>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y</t>
    </r>
  </si>
  <si>
    <r>
      <rPr>
        <b/>
        <sz val="11"/>
        <color theme="1"/>
        <rFont val="Calibri"/>
        <family val="2"/>
        <scheme val="minor"/>
      </rPr>
      <t>Sh</t>
    </r>
    <r>
      <rPr>
        <sz val="11"/>
        <color theme="1"/>
        <rFont val="Calibri"/>
        <family val="2"/>
        <scheme val="minor"/>
      </rPr>
      <t>y</t>
    </r>
  </si>
  <si>
    <r>
      <rPr>
        <b/>
        <sz val="11"/>
        <color theme="1"/>
        <rFont val="Calibri"/>
        <family val="2"/>
        <scheme val="minor"/>
      </rPr>
      <t>Sv</t>
    </r>
    <r>
      <rPr>
        <sz val="11"/>
        <color theme="1"/>
        <rFont val="Calibri"/>
        <family val="2"/>
        <scheme val="minor"/>
      </rPr>
      <t>y</t>
    </r>
  </si>
  <si>
    <t>X</t>
  </si>
  <si>
    <t>x=X+Sh</t>
  </si>
  <si>
    <t>y(x)</t>
  </si>
  <si>
    <t>Y(x)=y(x)+Sv</t>
  </si>
  <si>
    <t>lateral coeff</t>
  </si>
  <si>
    <t>Dx</t>
  </si>
  <si>
    <t>µx</t>
  </si>
  <si>
    <t>BCDx</t>
  </si>
  <si>
    <t>Cx</t>
  </si>
  <si>
    <t>Ex</t>
  </si>
  <si>
    <t>Bx</t>
  </si>
  <si>
    <t>Shx</t>
  </si>
  <si>
    <t>Svx</t>
  </si>
  <si>
    <t>FX (adjusted)</t>
  </si>
  <si>
    <t>Slip ratio, K (deg)</t>
  </si>
  <si>
    <t>Slip ratio (adjusted)(deg)</t>
  </si>
  <si>
    <t>FX (N)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</si>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</sst>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0" fillId="0" borderId="1" xfId="0" applyNumberFormat="1" applyFill="1" applyBorder="1"/>
    <xf numFmtId="1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962489063867016"/>
          <c:y val="3.2426994579329987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Lateral Force, Fy (N)</c:v>
          </c:tx>
          <c:xVal>
            <c:numRef>
              <c:f>lateral!$B$36:$B$66</c:f>
              <c:numCache>
                <c:formatCode>General</c:formatCode>
                <c:ptCount val="3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</c:numCache>
            </c:numRef>
          </c:xVal>
          <c:yVal>
            <c:numRef>
              <c:f>lateral!$E$36:$E$66</c:f>
              <c:numCache>
                <c:formatCode>0</c:formatCode>
                <c:ptCount val="31"/>
                <c:pt idx="0">
                  <c:v>-1140.5041423964674</c:v>
                </c:pt>
                <c:pt idx="1">
                  <c:v>-1154.9092793085345</c:v>
                </c:pt>
                <c:pt idx="2">
                  <c:v>-1170.0268276622983</c:v>
                </c:pt>
                <c:pt idx="3">
                  <c:v>-1185.6682333723534</c:v>
                </c:pt>
                <c:pt idx="4">
                  <c:v>-1201.4655146187674</c:v>
                </c:pt>
                <c:pt idx="5">
                  <c:v>-1216.7474101784924</c:v>
                </c:pt>
                <c:pt idx="6">
                  <c:v>-1230.329678468165</c:v>
                </c:pt>
                <c:pt idx="7">
                  <c:v>-1240.1597027283042</c:v>
                </c:pt>
                <c:pt idx="8">
                  <c:v>-1242.7198790005341</c:v>
                </c:pt>
                <c:pt idx="9">
                  <c:v>-1232.0574695773489</c:v>
                </c:pt>
                <c:pt idx="10">
                  <c:v>-1198.3312114317339</c:v>
                </c:pt>
                <c:pt idx="11">
                  <c:v>-1126.06266681437</c:v>
                </c:pt>
                <c:pt idx="12">
                  <c:v>-993.3938203546868</c:v>
                </c:pt>
                <c:pt idx="13">
                  <c:v>-776.18182641686735</c:v>
                </c:pt>
                <c:pt idx="14">
                  <c:v>-462.65766366712012</c:v>
                </c:pt>
                <c:pt idx="15">
                  <c:v>-75.993699313933647</c:v>
                </c:pt>
                <c:pt idx="16">
                  <c:v>320.48018965534573</c:v>
                </c:pt>
                <c:pt idx="17">
                  <c:v>657.21107446410542</c:v>
                </c:pt>
                <c:pt idx="18">
                  <c:v>899.50373886079274</c:v>
                </c:pt>
                <c:pt idx="19">
                  <c:v>1052.0937943480649</c:v>
                </c:pt>
                <c:pt idx="20">
                  <c:v>1137.8205993074246</c:v>
                </c:pt>
                <c:pt idx="21">
                  <c:v>1179.868168150058</c:v>
                </c:pt>
                <c:pt idx="22">
                  <c:v>1195.4144472722503</c:v>
                </c:pt>
                <c:pt idx="23">
                  <c:v>1195.6096311152362</c:v>
                </c:pt>
                <c:pt idx="24">
                  <c:v>1187.2632470215076</c:v>
                </c:pt>
                <c:pt idx="25">
                  <c:v>1174.4176745234429</c:v>
                </c:pt>
                <c:pt idx="26">
                  <c:v>1159.4384821366857</c:v>
                </c:pt>
                <c:pt idx="27">
                  <c:v>1143.6949413228758</c:v>
                </c:pt>
                <c:pt idx="28">
                  <c:v>1127.9676205788162</c:v>
                </c:pt>
                <c:pt idx="29">
                  <c:v>1112.689161169264</c:v>
                </c:pt>
                <c:pt idx="30">
                  <c:v>1098.0863590456954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68736"/>
        <c:axId val="83270272"/>
      </c:scatterChart>
      <c:valAx>
        <c:axId val="8326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70272"/>
        <c:crosses val="autoZero"/>
        <c:crossBetween val="midCat"/>
      </c:valAx>
      <c:valAx>
        <c:axId val="832702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268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FY / FZ</c:v>
          </c:tx>
          <c:xVal>
            <c:numRef>
              <c:f>lateral!$G$35:$G$45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lateral!$H$35:$H$45</c:f>
              <c:numCache>
                <c:formatCode>0</c:formatCode>
                <c:ptCount val="11"/>
                <c:pt idx="0" formatCode="General">
                  <c:v>0</c:v>
                </c:pt>
                <c:pt idx="1">
                  <c:v>1219.98</c:v>
                </c:pt>
                <c:pt idx="2">
                  <c:v>2355.92</c:v>
                </c:pt>
                <c:pt idx="3">
                  <c:v>3407.82</c:v>
                </c:pt>
                <c:pt idx="4">
                  <c:v>4375.68</c:v>
                </c:pt>
                <c:pt idx="5">
                  <c:v>5259.5</c:v>
                </c:pt>
                <c:pt idx="6">
                  <c:v>6059.28</c:v>
                </c:pt>
                <c:pt idx="7">
                  <c:v>6775.02</c:v>
                </c:pt>
                <c:pt idx="8">
                  <c:v>7406.7199999999993</c:v>
                </c:pt>
                <c:pt idx="9">
                  <c:v>7954.3799999999992</c:v>
                </c:pt>
                <c:pt idx="10">
                  <c:v>8418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98944"/>
        <c:axId val="83321216"/>
      </c:scatterChart>
      <c:valAx>
        <c:axId val="8329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21216"/>
        <c:crosses val="autoZero"/>
        <c:crossBetween val="midCat"/>
      </c:valAx>
      <c:valAx>
        <c:axId val="8332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2989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2"/>
          <c:order val="0"/>
          <c:xVal>
            <c:numRef>
              <c:f>long!$B$35:$B$83</c:f>
              <c:numCache>
                <c:formatCode>General</c:formatCode>
                <c:ptCount val="49"/>
                <c:pt idx="0">
                  <c:v>-100</c:v>
                </c:pt>
                <c:pt idx="1">
                  <c:v>-90</c:v>
                </c:pt>
                <c:pt idx="2">
                  <c:v>-80</c:v>
                </c:pt>
                <c:pt idx="3">
                  <c:v>-70</c:v>
                </c:pt>
                <c:pt idx="4">
                  <c:v>-60</c:v>
                </c:pt>
                <c:pt idx="5">
                  <c:v>-50</c:v>
                </c:pt>
                <c:pt idx="6">
                  <c:v>-40</c:v>
                </c:pt>
                <c:pt idx="7">
                  <c:v>-30</c:v>
                </c:pt>
                <c:pt idx="8">
                  <c:v>-20</c:v>
                </c:pt>
                <c:pt idx="9">
                  <c:v>-15</c:v>
                </c:pt>
                <c:pt idx="10">
                  <c:v>-14</c:v>
                </c:pt>
                <c:pt idx="11">
                  <c:v>-13</c:v>
                </c:pt>
                <c:pt idx="12">
                  <c:v>-12</c:v>
                </c:pt>
                <c:pt idx="13">
                  <c:v>-11</c:v>
                </c:pt>
                <c:pt idx="14">
                  <c:v>-10</c:v>
                </c:pt>
                <c:pt idx="15">
                  <c:v>-9</c:v>
                </c:pt>
                <c:pt idx="16">
                  <c:v>-8</c:v>
                </c:pt>
                <c:pt idx="17">
                  <c:v>-7</c:v>
                </c:pt>
                <c:pt idx="18">
                  <c:v>-6</c:v>
                </c:pt>
                <c:pt idx="19">
                  <c:v>-5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20</c:v>
                </c:pt>
                <c:pt idx="41">
                  <c:v>30</c:v>
                </c:pt>
                <c:pt idx="42">
                  <c:v>40</c:v>
                </c:pt>
                <c:pt idx="43">
                  <c:v>50</c:v>
                </c:pt>
                <c:pt idx="44">
                  <c:v>60</c:v>
                </c:pt>
                <c:pt idx="45">
                  <c:v>70</c:v>
                </c:pt>
                <c:pt idx="46">
                  <c:v>80</c:v>
                </c:pt>
                <c:pt idx="47">
                  <c:v>90</c:v>
                </c:pt>
                <c:pt idx="48">
                  <c:v>100</c:v>
                </c:pt>
              </c:numCache>
            </c:numRef>
          </c:xVal>
          <c:yVal>
            <c:numRef>
              <c:f>long!$E$35:$E$83</c:f>
              <c:numCache>
                <c:formatCode>0</c:formatCode>
                <c:ptCount val="49"/>
                <c:pt idx="0">
                  <c:v>-705.3709510429502</c:v>
                </c:pt>
                <c:pt idx="1">
                  <c:v>-1055.3473924000584</c:v>
                </c:pt>
                <c:pt idx="2">
                  <c:v>-1292.3722264939991</c:v>
                </c:pt>
                <c:pt idx="3">
                  <c:v>-1424.8023170513882</c:v>
                </c:pt>
                <c:pt idx="4">
                  <c:v>-1476.3271979984825</c:v>
                </c:pt>
                <c:pt idx="5">
                  <c:v>-1474.6718913154446</c:v>
                </c:pt>
                <c:pt idx="6">
                  <c:v>-1446.2819793623107</c:v>
                </c:pt>
                <c:pt idx="7">
                  <c:v>-1417.2892575468416</c:v>
                </c:pt>
                <c:pt idx="8">
                  <c:v>-1421.4492910245167</c:v>
                </c:pt>
                <c:pt idx="9">
                  <c:v>-1449.7506100203589</c:v>
                </c:pt>
                <c:pt idx="10">
                  <c:v>-1457.4331691148827</c:v>
                </c:pt>
                <c:pt idx="11">
                  <c:v>-1465.2182503673571</c:v>
                </c:pt>
                <c:pt idx="12">
                  <c:v>-1472.4642745605015</c:v>
                </c:pt>
                <c:pt idx="13">
                  <c:v>-1478.1258808037092</c:v>
                </c:pt>
                <c:pt idx="14">
                  <c:v>-1480.5399544480265</c:v>
                </c:pt>
                <c:pt idx="15">
                  <c:v>-1477.1125325188759</c:v>
                </c:pt>
                <c:pt idx="16">
                  <c:v>-1463.882035199568</c:v>
                </c:pt>
                <c:pt idx="17">
                  <c:v>-1434.963097915796</c:v>
                </c:pt>
                <c:pt idx="18">
                  <c:v>-1381.9667600864691</c:v>
                </c:pt>
                <c:pt idx="19">
                  <c:v>-1293.7051133800733</c:v>
                </c:pt>
                <c:pt idx="20">
                  <c:v>-1156.8593723906222</c:v>
                </c:pt>
                <c:pt idx="21">
                  <c:v>-958.67068885921572</c:v>
                </c:pt>
                <c:pt idx="22">
                  <c:v>-692.46264454230482</c:v>
                </c:pt>
                <c:pt idx="23">
                  <c:v>-364.85138398685172</c:v>
                </c:pt>
                <c:pt idx="24">
                  <c:v>0</c:v>
                </c:pt>
                <c:pt idx="25">
                  <c:v>364.85138398685172</c:v>
                </c:pt>
                <c:pt idx="26">
                  <c:v>692.46264454230482</c:v>
                </c:pt>
                <c:pt idx="27">
                  <c:v>958.67068885921572</c:v>
                </c:pt>
                <c:pt idx="28">
                  <c:v>1156.8593723906222</c:v>
                </c:pt>
                <c:pt idx="29">
                  <c:v>1293.7051133800733</c:v>
                </c:pt>
                <c:pt idx="30">
                  <c:v>1381.9667600864691</c:v>
                </c:pt>
                <c:pt idx="31">
                  <c:v>1434.963097915796</c:v>
                </c:pt>
                <c:pt idx="32">
                  <c:v>1463.882035199568</c:v>
                </c:pt>
                <c:pt idx="33">
                  <c:v>1477.1125325188759</c:v>
                </c:pt>
                <c:pt idx="34">
                  <c:v>1480.5399544480265</c:v>
                </c:pt>
                <c:pt idx="35">
                  <c:v>1478.1258808037092</c:v>
                </c:pt>
                <c:pt idx="36">
                  <c:v>1472.4642745605015</c:v>
                </c:pt>
                <c:pt idx="37">
                  <c:v>1465.2182503673571</c:v>
                </c:pt>
                <c:pt idx="38">
                  <c:v>1457.4331691148827</c:v>
                </c:pt>
                <c:pt idx="39">
                  <c:v>1449.7506100203589</c:v>
                </c:pt>
                <c:pt idx="40">
                  <c:v>1421.4492910245167</c:v>
                </c:pt>
                <c:pt idx="41">
                  <c:v>1417.2892575468416</c:v>
                </c:pt>
                <c:pt idx="42">
                  <c:v>1446.2819793623107</c:v>
                </c:pt>
                <c:pt idx="43">
                  <c:v>1474.6718913154446</c:v>
                </c:pt>
                <c:pt idx="44">
                  <c:v>1476.3271979984825</c:v>
                </c:pt>
                <c:pt idx="45">
                  <c:v>1424.8023170513882</c:v>
                </c:pt>
                <c:pt idx="46">
                  <c:v>1292.3722264939991</c:v>
                </c:pt>
                <c:pt idx="47">
                  <c:v>1055.3473924000584</c:v>
                </c:pt>
                <c:pt idx="48">
                  <c:v>705.3709510429502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83456"/>
        <c:axId val="84084992"/>
      </c:scatterChart>
      <c:valAx>
        <c:axId val="840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084992"/>
        <c:crosses val="autoZero"/>
        <c:crossBetween val="midCat"/>
      </c:valAx>
      <c:valAx>
        <c:axId val="840849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40834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long!$G$34:$G$44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long!$H$34:$H$44</c:f>
              <c:numCache>
                <c:formatCode>0</c:formatCode>
                <c:ptCount val="11"/>
                <c:pt idx="0" formatCode="General">
                  <c:v>0</c:v>
                </c:pt>
                <c:pt idx="1">
                  <c:v>1480.54</c:v>
                </c:pt>
                <c:pt idx="2">
                  <c:v>2942.16</c:v>
                </c:pt>
                <c:pt idx="3">
                  <c:v>4384.8599999999997</c:v>
                </c:pt>
                <c:pt idx="4">
                  <c:v>5808.64</c:v>
                </c:pt>
                <c:pt idx="5">
                  <c:v>7213.5</c:v>
                </c:pt>
                <c:pt idx="6">
                  <c:v>8599.44</c:v>
                </c:pt>
                <c:pt idx="7">
                  <c:v>9966.4599999999991</c:v>
                </c:pt>
                <c:pt idx="8">
                  <c:v>11314.56</c:v>
                </c:pt>
                <c:pt idx="9">
                  <c:v>12643.74</c:v>
                </c:pt>
                <c:pt idx="10" formatCode="General">
                  <c:v>13954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00992"/>
        <c:axId val="84102528"/>
      </c:scatterChart>
      <c:valAx>
        <c:axId val="841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102528"/>
        <c:crosses val="autoZero"/>
        <c:crossBetween val="midCat"/>
      </c:valAx>
      <c:valAx>
        <c:axId val="8410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00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4.jpe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314740</xdr:colOff>
      <xdr:row>0</xdr:row>
      <xdr:rowOff>9525</xdr:rowOff>
    </xdr:from>
    <xdr:to>
      <xdr:col>4</xdr:col>
      <xdr:colOff>569798</xdr:colOff>
      <xdr:row>7</xdr:row>
      <xdr:rowOff>9525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740" y="9525"/>
          <a:ext cx="3303058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730665</xdr:colOff>
      <xdr:row>4</xdr:row>
      <xdr:rowOff>117475</xdr:rowOff>
    </xdr:from>
    <xdr:to>
      <xdr:col>7</xdr:col>
      <xdr:colOff>575090</xdr:colOff>
      <xdr:row>7</xdr:row>
      <xdr:rowOff>85725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665" y="879475"/>
          <a:ext cx="606425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663990</xdr:colOff>
      <xdr:row>0</xdr:row>
      <xdr:rowOff>0</xdr:rowOff>
    </xdr:from>
    <xdr:to>
      <xdr:col>10</xdr:col>
      <xdr:colOff>105190</xdr:colOff>
      <xdr:row>4</xdr:row>
      <xdr:rowOff>146050</xdr:rowOff>
    </xdr:to>
    <xdr:pic>
      <xdr:nvPicPr>
        <xdr:cNvPr id="8" name="Picture 5" descr="barra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605"/>
        <a:stretch>
          <a:fillRect/>
        </a:stretch>
      </xdr:blipFill>
      <xdr:spPr bwMode="auto">
        <a:xfrm>
          <a:off x="3711990" y="0"/>
          <a:ext cx="4013200" cy="90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600490</xdr:colOff>
      <xdr:row>3</xdr:row>
      <xdr:rowOff>87842</xdr:rowOff>
    </xdr:from>
    <xdr:to>
      <xdr:col>10</xdr:col>
      <xdr:colOff>48040</xdr:colOff>
      <xdr:row>10</xdr:row>
      <xdr:rowOff>166158</xdr:rowOff>
    </xdr:to>
    <xdr:pic>
      <xdr:nvPicPr>
        <xdr:cNvPr id="9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490" y="659342"/>
          <a:ext cx="971550" cy="1411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11</xdr:row>
      <xdr:rowOff>0</xdr:rowOff>
    </xdr:from>
    <xdr:to>
      <xdr:col>11</xdr:col>
      <xdr:colOff>563217</xdr:colOff>
      <xdr:row>26</xdr:row>
      <xdr:rowOff>115956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1151282</xdr:colOff>
      <xdr:row>45</xdr:row>
      <xdr:rowOff>182217</xdr:rowOff>
    </xdr:from>
    <xdr:to>
      <xdr:col>11</xdr:col>
      <xdr:colOff>157370</xdr:colOff>
      <xdr:row>58</xdr:row>
      <xdr:rowOff>16565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753717</xdr:colOff>
      <xdr:row>0</xdr:row>
      <xdr:rowOff>9525</xdr:rowOff>
    </xdr:from>
    <xdr:to>
      <xdr:col>4</xdr:col>
      <xdr:colOff>636058</xdr:colOff>
      <xdr:row>7</xdr:row>
      <xdr:rowOff>9525</xdr:rowOff>
    </xdr:to>
    <xdr:pic>
      <xdr:nvPicPr>
        <xdr:cNvPr id="8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717" y="9525"/>
          <a:ext cx="3303058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1318729</xdr:colOff>
      <xdr:row>4</xdr:row>
      <xdr:rowOff>117475</xdr:rowOff>
    </xdr:from>
    <xdr:to>
      <xdr:col>6</xdr:col>
      <xdr:colOff>409437</xdr:colOff>
      <xdr:row>7</xdr:row>
      <xdr:rowOff>85725</xdr:rowOff>
    </xdr:to>
    <xdr:pic>
      <xdr:nvPicPr>
        <xdr:cNvPr id="9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1642" y="879475"/>
          <a:ext cx="606425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730250</xdr:colOff>
      <xdr:row>0</xdr:row>
      <xdr:rowOff>0</xdr:rowOff>
    </xdr:from>
    <xdr:to>
      <xdr:col>9</xdr:col>
      <xdr:colOff>30645</xdr:colOff>
      <xdr:row>4</xdr:row>
      <xdr:rowOff>146050</xdr:rowOff>
    </xdr:to>
    <xdr:pic>
      <xdr:nvPicPr>
        <xdr:cNvPr id="10" name="Picture 5" descr="barra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605"/>
        <a:stretch>
          <a:fillRect/>
        </a:stretch>
      </xdr:blipFill>
      <xdr:spPr bwMode="auto">
        <a:xfrm>
          <a:off x="4150967" y="0"/>
          <a:ext cx="4013200" cy="90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434837</xdr:colOff>
      <xdr:row>3</xdr:row>
      <xdr:rowOff>87842</xdr:rowOff>
    </xdr:from>
    <xdr:to>
      <xdr:col>8</xdr:col>
      <xdr:colOff>644387</xdr:colOff>
      <xdr:row>10</xdr:row>
      <xdr:rowOff>166158</xdr:rowOff>
    </xdr:to>
    <xdr:pic>
      <xdr:nvPicPr>
        <xdr:cNvPr id="11" name="Imagen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5467" y="659342"/>
          <a:ext cx="971550" cy="1411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604631</xdr:colOff>
      <xdr:row>12</xdr:row>
      <xdr:rowOff>115958</xdr:rowOff>
    </xdr:from>
    <xdr:to>
      <xdr:col>12</xdr:col>
      <xdr:colOff>24848</xdr:colOff>
      <xdr:row>26</xdr:row>
      <xdr:rowOff>173936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298174</xdr:colOff>
      <xdr:row>31</xdr:row>
      <xdr:rowOff>66261</xdr:rowOff>
    </xdr:from>
    <xdr:to>
      <xdr:col>13</xdr:col>
      <xdr:colOff>323022</xdr:colOff>
      <xdr:row>45</xdr:row>
      <xdr:rowOff>16565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728869</xdr:colOff>
      <xdr:row>0</xdr:row>
      <xdr:rowOff>92351</xdr:rowOff>
    </xdr:from>
    <xdr:to>
      <xdr:col>4</xdr:col>
      <xdr:colOff>652623</xdr:colOff>
      <xdr:row>7</xdr:row>
      <xdr:rowOff>92351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869" y="92351"/>
          <a:ext cx="3303058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598142</xdr:colOff>
      <xdr:row>5</xdr:row>
      <xdr:rowOff>9801</xdr:rowOff>
    </xdr:from>
    <xdr:to>
      <xdr:col>7</xdr:col>
      <xdr:colOff>442567</xdr:colOff>
      <xdr:row>7</xdr:row>
      <xdr:rowOff>168551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6794" y="962301"/>
          <a:ext cx="606425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906946</xdr:colOff>
      <xdr:row>1</xdr:row>
      <xdr:rowOff>120972</xdr:rowOff>
    </xdr:from>
    <xdr:to>
      <xdr:col>6</xdr:col>
      <xdr:colOff>139148</xdr:colOff>
      <xdr:row>9</xdr:row>
      <xdr:rowOff>8788</xdr:rowOff>
    </xdr:to>
    <xdr:pic>
      <xdr:nvPicPr>
        <xdr:cNvPr id="8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11472"/>
          <a:ext cx="971550" cy="1411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223631</xdr:colOff>
      <xdr:row>13</xdr:row>
      <xdr:rowOff>99391</xdr:rowOff>
    </xdr:from>
    <xdr:to>
      <xdr:col>5</xdr:col>
      <xdr:colOff>646044</xdr:colOff>
      <xdr:row>15</xdr:row>
      <xdr:rowOff>57978</xdr:rowOff>
    </xdr:to>
    <xdr:sp macro="" textlink="">
      <xdr:nvSpPr>
        <xdr:cNvPr id="2" name="CuadroTexto 1"/>
        <xdr:cNvSpPr txBox="1"/>
      </xdr:nvSpPr>
      <xdr:spPr>
        <a:xfrm>
          <a:off x="3602935" y="2575891"/>
          <a:ext cx="1399761" cy="339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/>
            <a:t>Long. Force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612913</xdr:colOff>
      <xdr:row>0</xdr:row>
      <xdr:rowOff>84069</xdr:rowOff>
    </xdr:from>
    <xdr:to>
      <xdr:col>8</xdr:col>
      <xdr:colOff>105971</xdr:colOff>
      <xdr:row>7</xdr:row>
      <xdr:rowOff>84069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3" y="84069"/>
          <a:ext cx="3303058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59773</xdr:colOff>
      <xdr:row>8</xdr:row>
      <xdr:rowOff>42931</xdr:rowOff>
    </xdr:from>
    <xdr:to>
      <xdr:col>6</xdr:col>
      <xdr:colOff>190490</xdr:colOff>
      <xdr:row>15</xdr:row>
      <xdr:rowOff>182216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7773" y="1566931"/>
          <a:ext cx="1654717" cy="1472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302315</xdr:colOff>
      <xdr:row>2</xdr:row>
      <xdr:rowOff>112690</xdr:rowOff>
    </xdr:from>
    <xdr:to>
      <xdr:col>9</xdr:col>
      <xdr:colOff>511865</xdr:colOff>
      <xdr:row>10</xdr:row>
      <xdr:rowOff>506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8315" y="493690"/>
          <a:ext cx="971550" cy="1411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G32"/>
  <sheetViews>
    <sheetView topLeftCell="A16" zoomScale="115" zoomScaleNormal="115" workbookViewId="0">
      <selection activeCell="O23" sqref="O23"/>
    </sheetView>
  </sheetViews>
  <sheetFormatPr defaultColWidth="11.42578125" defaultRowHeight="15" x14ac:dyDescent="0.25"/>
  <sheetData>
    <row r="12" spans="1:7" x14ac:dyDescent="0.25">
      <c r="A12" t="s">
        <v>0</v>
      </c>
    </row>
    <row r="13" spans="1:7" x14ac:dyDescent="0.25">
      <c r="B13" s="2" t="s">
        <v>1</v>
      </c>
      <c r="C13" s="2"/>
      <c r="D13" s="2"/>
      <c r="E13" s="2"/>
      <c r="F13" s="2"/>
      <c r="G13" s="2"/>
    </row>
    <row r="14" spans="1:7" x14ac:dyDescent="0.25">
      <c r="B14" s="4" t="s">
        <v>2</v>
      </c>
      <c r="C14" s="4"/>
      <c r="D14" s="4" t="s">
        <v>3</v>
      </c>
      <c r="E14" s="4"/>
      <c r="F14" s="4" t="s">
        <v>4</v>
      </c>
      <c r="G14" s="4"/>
    </row>
    <row r="15" spans="1:7" x14ac:dyDescent="0.25">
      <c r="B15" s="3" t="s">
        <v>5</v>
      </c>
      <c r="C15" s="1">
        <v>1.5509999999999999</v>
      </c>
      <c r="D15" s="3" t="s">
        <v>19</v>
      </c>
      <c r="E15" s="1">
        <v>2.3727200000000002</v>
      </c>
      <c r="F15" s="3" t="s">
        <v>30</v>
      </c>
      <c r="G15" s="1">
        <v>2.298</v>
      </c>
    </row>
    <row r="16" spans="1:7" x14ac:dyDescent="0.25">
      <c r="B16" s="3" t="s">
        <v>6</v>
      </c>
      <c r="C16" s="1">
        <v>-42.02</v>
      </c>
      <c r="D16" s="3" t="s">
        <v>20</v>
      </c>
      <c r="E16" s="1">
        <v>-9.4600000000000009</v>
      </c>
      <c r="F16" s="3" t="s">
        <v>31</v>
      </c>
      <c r="G16" s="1">
        <v>-3.1309999999999998</v>
      </c>
    </row>
    <row r="17" spans="2:7" x14ac:dyDescent="0.25">
      <c r="B17" s="3" t="s">
        <v>7</v>
      </c>
      <c r="C17" s="1">
        <v>1262</v>
      </c>
      <c r="D17" s="3" t="s">
        <v>21</v>
      </c>
      <c r="E17" s="1">
        <v>1490</v>
      </c>
      <c r="F17" s="3" t="s">
        <v>32</v>
      </c>
      <c r="G17" s="1">
        <v>-5.2080000000000002</v>
      </c>
    </row>
    <row r="18" spans="2:7" x14ac:dyDescent="0.25">
      <c r="B18" s="3" t="s">
        <v>8</v>
      </c>
      <c r="C18" s="1">
        <v>2683</v>
      </c>
      <c r="D18" s="3" t="s">
        <v>22</v>
      </c>
      <c r="E18" s="1">
        <v>130</v>
      </c>
      <c r="F18" s="3" t="s">
        <v>33</v>
      </c>
      <c r="G18" s="1">
        <v>-1.347</v>
      </c>
    </row>
    <row r="19" spans="2:7" x14ac:dyDescent="0.25">
      <c r="B19" s="3" t="s">
        <v>9</v>
      </c>
      <c r="C19" s="1">
        <v>12.8</v>
      </c>
      <c r="D19" s="3" t="s">
        <v>23</v>
      </c>
      <c r="E19" s="1">
        <v>276</v>
      </c>
      <c r="F19" s="3" t="s">
        <v>34</v>
      </c>
      <c r="G19" s="1">
        <v>-5.4039999999999999</v>
      </c>
    </row>
    <row r="20" spans="2:7" x14ac:dyDescent="0.25">
      <c r="B20" s="3" t="s">
        <v>10</v>
      </c>
      <c r="C20" s="1">
        <v>1.3990000000000001E-2</v>
      </c>
      <c r="D20" s="3" t="s">
        <v>24</v>
      </c>
      <c r="E20" s="1">
        <v>8.8599999999999998E-2</v>
      </c>
      <c r="F20" s="3" t="s">
        <v>35</v>
      </c>
      <c r="G20" s="1">
        <v>0</v>
      </c>
    </row>
    <row r="21" spans="2:7" x14ac:dyDescent="0.25">
      <c r="B21" s="3" t="s">
        <v>11</v>
      </c>
      <c r="C21" s="1">
        <v>-0.1026</v>
      </c>
      <c r="D21" s="3" t="s">
        <v>25</v>
      </c>
      <c r="E21" s="1">
        <v>4.0200000000000001E-4</v>
      </c>
      <c r="F21" s="3" t="s">
        <v>36</v>
      </c>
      <c r="G21" s="1">
        <v>0</v>
      </c>
    </row>
    <row r="22" spans="2:7" x14ac:dyDescent="0.25">
      <c r="B22" s="3" t="s">
        <v>12</v>
      </c>
      <c r="C22" s="1">
        <v>5.6669999999999998E-2</v>
      </c>
      <c r="D22" s="3" t="s">
        <v>26</v>
      </c>
      <c r="E22" s="1">
        <v>-6.1499999999999999E-2</v>
      </c>
      <c r="F22" s="3" t="s">
        <v>37</v>
      </c>
      <c r="G22" s="1">
        <v>3.6510000000000001E-2</v>
      </c>
    </row>
    <row r="23" spans="2:7" x14ac:dyDescent="0.25">
      <c r="B23" s="3" t="s">
        <v>13</v>
      </c>
      <c r="C23" s="1">
        <v>-1.8720000000000001E-2</v>
      </c>
      <c r="D23" s="3" t="s">
        <v>27</v>
      </c>
      <c r="E23" s="1">
        <v>1.2</v>
      </c>
      <c r="F23" s="3" t="s">
        <v>38</v>
      </c>
      <c r="G23" s="1">
        <v>-0.2838</v>
      </c>
    </row>
    <row r="24" spans="2:7" x14ac:dyDescent="0.25">
      <c r="B24" s="3" t="s">
        <v>14</v>
      </c>
      <c r="C24" s="1">
        <v>-1.1509999999999999E-2</v>
      </c>
      <c r="D24" s="3" t="s">
        <v>28</v>
      </c>
      <c r="E24" s="1">
        <v>2.9899999999999999E-2</v>
      </c>
      <c r="F24" s="3" t="s">
        <v>44</v>
      </c>
      <c r="G24" s="1">
        <v>-1.8640000000000001</v>
      </c>
    </row>
    <row r="25" spans="2:7" x14ac:dyDescent="0.25">
      <c r="B25" s="3" t="s">
        <v>15</v>
      </c>
      <c r="C25" s="1">
        <v>-8.183E-2</v>
      </c>
      <c r="D25" s="3" t="s">
        <v>29</v>
      </c>
      <c r="E25" s="1">
        <v>-0.17599999999999999</v>
      </c>
      <c r="F25" s="3" t="s">
        <v>45</v>
      </c>
      <c r="G25" s="1">
        <v>-5.1499999999999997E-2</v>
      </c>
    </row>
    <row r="26" spans="2:7" x14ac:dyDescent="0.25">
      <c r="B26" s="3" t="s">
        <v>16</v>
      </c>
      <c r="C26" s="1">
        <v>-14</v>
      </c>
      <c r="D26" s="1"/>
      <c r="E26" s="1"/>
      <c r="F26" s="3" t="s">
        <v>39</v>
      </c>
      <c r="G26" s="1">
        <v>2.8639999999999999E-2</v>
      </c>
    </row>
    <row r="27" spans="2:7" x14ac:dyDescent="0.25">
      <c r="B27" s="3" t="s">
        <v>17</v>
      </c>
      <c r="C27" s="1">
        <v>4.5949999999999998</v>
      </c>
      <c r="D27" s="1"/>
      <c r="E27" s="1"/>
      <c r="F27" s="3" t="s">
        <v>40</v>
      </c>
      <c r="G27" s="1">
        <v>-4.2030000000000001E-3</v>
      </c>
    </row>
    <row r="28" spans="2:7" x14ac:dyDescent="0.25">
      <c r="B28" s="3" t="s">
        <v>18</v>
      </c>
      <c r="C28" s="1">
        <v>0.34960000000000002</v>
      </c>
      <c r="D28" s="1"/>
      <c r="E28" s="1"/>
      <c r="F28" s="3" t="s">
        <v>41</v>
      </c>
      <c r="G28" s="1">
        <v>-0.1411</v>
      </c>
    </row>
    <row r="29" spans="2:7" x14ac:dyDescent="0.25">
      <c r="B29" s="1"/>
      <c r="C29" s="1"/>
      <c r="D29" s="1"/>
      <c r="E29" s="1"/>
      <c r="F29" s="3" t="s">
        <v>42</v>
      </c>
      <c r="G29" s="1">
        <v>4.018E-2</v>
      </c>
    </row>
    <row r="30" spans="2:7" x14ac:dyDescent="0.25">
      <c r="B30" s="1"/>
      <c r="C30" s="1"/>
      <c r="D30" s="1"/>
      <c r="E30" s="1"/>
      <c r="F30" s="3" t="s">
        <v>46</v>
      </c>
      <c r="G30" s="1">
        <v>-0.88380000000000003</v>
      </c>
    </row>
    <row r="31" spans="2:7" x14ac:dyDescent="0.25">
      <c r="B31" s="1"/>
      <c r="C31" s="1"/>
      <c r="D31" s="1"/>
      <c r="E31" s="1"/>
      <c r="F31" s="3" t="s">
        <v>47</v>
      </c>
      <c r="G31" s="1">
        <v>-0.1855</v>
      </c>
    </row>
    <row r="32" spans="2:7" x14ac:dyDescent="0.25">
      <c r="B32" s="1"/>
      <c r="C32" s="1"/>
      <c r="D32" s="1"/>
      <c r="E32" s="1"/>
      <c r="F32" s="3" t="s">
        <v>43</v>
      </c>
      <c r="G32" s="1">
        <v>0.39560000000000001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L66"/>
  <sheetViews>
    <sheetView zoomScale="115" zoomScaleNormal="115" workbookViewId="0">
      <selection activeCell="B32" sqref="B32"/>
    </sheetView>
  </sheetViews>
  <sheetFormatPr defaultColWidth="11.42578125" defaultRowHeight="15" x14ac:dyDescent="0.25"/>
  <cols>
    <col min="2" max="2" width="14.42578125" customWidth="1"/>
    <col min="3" max="3" width="15.28515625" customWidth="1"/>
    <col min="4" max="4" width="10.140625" customWidth="1"/>
    <col min="5" max="5" width="15" customWidth="1"/>
    <col min="6" max="6" width="22.7109375" customWidth="1"/>
    <col min="9" max="9" width="10" customWidth="1"/>
    <col min="10" max="10" width="9.28515625" customWidth="1"/>
    <col min="11" max="11" width="9.85546875" customWidth="1"/>
    <col min="12" max="12" width="9.28515625" customWidth="1"/>
  </cols>
  <sheetData>
    <row r="12" spans="2:3" x14ac:dyDescent="0.25">
      <c r="B12" s="1" t="s">
        <v>68</v>
      </c>
      <c r="C12" s="1"/>
    </row>
    <row r="13" spans="2:3" x14ac:dyDescent="0.25">
      <c r="B13" s="3" t="s">
        <v>5</v>
      </c>
      <c r="C13" s="1">
        <v>1.5509999999999999</v>
      </c>
    </row>
    <row r="14" spans="2:3" x14ac:dyDescent="0.25">
      <c r="B14" s="3" t="s">
        <v>6</v>
      </c>
      <c r="C14" s="1">
        <v>-42.02</v>
      </c>
    </row>
    <row r="15" spans="2:3" x14ac:dyDescent="0.25">
      <c r="B15" s="3" t="s">
        <v>7</v>
      </c>
      <c r="C15" s="1">
        <v>1262</v>
      </c>
    </row>
    <row r="16" spans="2:3" x14ac:dyDescent="0.25">
      <c r="B16" s="3" t="s">
        <v>8</v>
      </c>
      <c r="C16" s="1">
        <v>2683</v>
      </c>
    </row>
    <row r="17" spans="2:12" x14ac:dyDescent="0.25">
      <c r="B17" s="3" t="s">
        <v>9</v>
      </c>
      <c r="C17" s="1">
        <v>12.8</v>
      </c>
      <c r="D17" s="7"/>
    </row>
    <row r="18" spans="2:12" x14ac:dyDescent="0.25">
      <c r="B18" s="3" t="s">
        <v>10</v>
      </c>
      <c r="C18" s="1">
        <v>1.3990000000000001E-2</v>
      </c>
    </row>
    <row r="19" spans="2:12" x14ac:dyDescent="0.25">
      <c r="B19" s="3" t="s">
        <v>11</v>
      </c>
      <c r="C19" s="1">
        <v>-0.1026</v>
      </c>
    </row>
    <row r="20" spans="2:12" x14ac:dyDescent="0.25">
      <c r="B20" s="3" t="s">
        <v>12</v>
      </c>
      <c r="C20" s="1">
        <v>5.6669999999999998E-2</v>
      </c>
    </row>
    <row r="21" spans="2:12" x14ac:dyDescent="0.25">
      <c r="B21" s="3" t="s">
        <v>13</v>
      </c>
      <c r="C21" s="1">
        <v>-1.8720000000000001E-2</v>
      </c>
    </row>
    <row r="22" spans="2:12" x14ac:dyDescent="0.25">
      <c r="B22" s="3" t="s">
        <v>14</v>
      </c>
      <c r="C22" s="1">
        <v>-1.1509999999999999E-2</v>
      </c>
    </row>
    <row r="23" spans="2:12" x14ac:dyDescent="0.25">
      <c r="B23" s="3" t="s">
        <v>15</v>
      </c>
      <c r="C23" s="1">
        <v>-8.183E-2</v>
      </c>
    </row>
    <row r="24" spans="2:12" x14ac:dyDescent="0.25">
      <c r="B24" s="3" t="s">
        <v>16</v>
      </c>
      <c r="C24" s="1">
        <v>-14</v>
      </c>
    </row>
    <row r="25" spans="2:12" x14ac:dyDescent="0.25">
      <c r="B25" s="3" t="s">
        <v>17</v>
      </c>
      <c r="C25" s="1">
        <v>4.5949999999999998</v>
      </c>
    </row>
    <row r="26" spans="2:12" x14ac:dyDescent="0.25">
      <c r="B26" s="3" t="s">
        <v>18</v>
      </c>
      <c r="C26" s="1">
        <v>0.34960000000000002</v>
      </c>
    </row>
    <row r="29" spans="2:12" x14ac:dyDescent="0.25">
      <c r="B29" s="3" t="s">
        <v>48</v>
      </c>
      <c r="C29" s="3" t="s">
        <v>49</v>
      </c>
      <c r="E29" s="9" t="s">
        <v>56</v>
      </c>
      <c r="F29" s="9" t="s">
        <v>57</v>
      </c>
      <c r="G29" s="9" t="s">
        <v>58</v>
      </c>
      <c r="H29" s="9" t="s">
        <v>59</v>
      </c>
      <c r="I29" s="9" t="s">
        <v>60</v>
      </c>
      <c r="J29" s="9" t="s">
        <v>61</v>
      </c>
      <c r="K29" s="9" t="s">
        <v>62</v>
      </c>
      <c r="L29" s="9" t="s">
        <v>63</v>
      </c>
    </row>
    <row r="30" spans="2:12" x14ac:dyDescent="0.25">
      <c r="B30" s="5" t="s">
        <v>50</v>
      </c>
      <c r="C30" s="1" t="s">
        <v>51</v>
      </c>
      <c r="E30" s="5">
        <f>mu_y*FZ</f>
        <v>1219.98</v>
      </c>
      <c r="F30" s="5">
        <f>a1_*FZ+a2_</f>
        <v>1219.98</v>
      </c>
      <c r="G30" s="5">
        <f>a3_*SIN(2*ATAN(FZ/a4_))*(1-a5_*ABS(camber))</f>
        <v>405.01698189759765</v>
      </c>
      <c r="H30" s="5">
        <f>a0_</f>
        <v>1.5509999999999999</v>
      </c>
      <c r="I30" s="5">
        <f>a6_*FZ+a7_</f>
        <v>-4.5929999999999999E-2</v>
      </c>
      <c r="J30" s="5">
        <f>BCDy/(Cy*dy)</f>
        <v>0.21404679246023178</v>
      </c>
      <c r="K30" s="5">
        <f>a8_*camber+a9_*FZ+a10_</f>
        <v>-0.13078000000000001</v>
      </c>
      <c r="L30" s="5">
        <f>a11_*FZ*camber+a12_*FZ+a13_</f>
        <v>-23.055400000000002</v>
      </c>
    </row>
    <row r="31" spans="2:12" x14ac:dyDescent="0.25">
      <c r="B31" s="8">
        <v>2</v>
      </c>
      <c r="C31" s="8">
        <v>1</v>
      </c>
    </row>
    <row r="34" spans="2:8" x14ac:dyDescent="0.25">
      <c r="B34" s="6" t="s">
        <v>64</v>
      </c>
      <c r="C34" s="6" t="s">
        <v>65</v>
      </c>
      <c r="D34" s="6" t="s">
        <v>66</v>
      </c>
      <c r="E34" s="6" t="s">
        <v>67</v>
      </c>
      <c r="G34" s="9" t="s">
        <v>49</v>
      </c>
      <c r="H34" s="9" t="s">
        <v>81</v>
      </c>
    </row>
    <row r="35" spans="2:8" x14ac:dyDescent="0.25">
      <c r="B35" s="3" t="s">
        <v>52</v>
      </c>
      <c r="C35" s="3" t="s">
        <v>53</v>
      </c>
      <c r="D35" s="3" t="s">
        <v>54</v>
      </c>
      <c r="E35" s="3" t="s">
        <v>55</v>
      </c>
      <c r="G35" s="1">
        <v>0</v>
      </c>
      <c r="H35" s="1">
        <f t="shared" ref="H35:H45" si="0">a1_*G35^2+a2_*G35</f>
        <v>0</v>
      </c>
    </row>
    <row r="36" spans="2:8" x14ac:dyDescent="0.25">
      <c r="B36" s="1">
        <v>-15</v>
      </c>
      <c r="C36" s="1">
        <f t="shared" ref="C36:C66" si="1">B36+Shy</f>
        <v>-15.13078</v>
      </c>
      <c r="D36" s="10">
        <f t="shared" ref="D36:D66" si="2">dy*SIN(Cy*ATAN(By*C36-Ey*(By*C36-ATAN(By*C36))))</f>
        <v>-1117.4487423964674</v>
      </c>
      <c r="E36" s="11">
        <f t="shared" ref="E36:E66" si="3">D36+Svy</f>
        <v>-1140.5041423964674</v>
      </c>
      <c r="G36" s="1">
        <v>1</v>
      </c>
      <c r="H36" s="10">
        <f t="shared" si="0"/>
        <v>1219.98</v>
      </c>
    </row>
    <row r="37" spans="2:8" x14ac:dyDescent="0.25">
      <c r="B37" s="1">
        <v>-14</v>
      </c>
      <c r="C37" s="1">
        <f t="shared" si="1"/>
        <v>-14.13078</v>
      </c>
      <c r="D37" s="10">
        <f t="shared" si="2"/>
        <v>-1131.8538793085345</v>
      </c>
      <c r="E37" s="11">
        <f t="shared" si="3"/>
        <v>-1154.9092793085345</v>
      </c>
      <c r="G37" s="1">
        <v>2</v>
      </c>
      <c r="H37" s="10">
        <f t="shared" si="0"/>
        <v>2355.92</v>
      </c>
    </row>
    <row r="38" spans="2:8" x14ac:dyDescent="0.25">
      <c r="B38" s="1">
        <v>-13</v>
      </c>
      <c r="C38" s="1">
        <f t="shared" si="1"/>
        <v>-13.13078</v>
      </c>
      <c r="D38" s="10">
        <f t="shared" si="2"/>
        <v>-1146.9714276622983</v>
      </c>
      <c r="E38" s="11">
        <f t="shared" si="3"/>
        <v>-1170.0268276622983</v>
      </c>
      <c r="G38" s="1">
        <v>3</v>
      </c>
      <c r="H38" s="10">
        <f t="shared" si="0"/>
        <v>3407.82</v>
      </c>
    </row>
    <row r="39" spans="2:8" x14ac:dyDescent="0.25">
      <c r="B39" s="1">
        <v>-12</v>
      </c>
      <c r="C39" s="1">
        <f t="shared" si="1"/>
        <v>-12.13078</v>
      </c>
      <c r="D39" s="10">
        <f t="shared" si="2"/>
        <v>-1162.6128333723534</v>
      </c>
      <c r="E39" s="11">
        <f t="shared" si="3"/>
        <v>-1185.6682333723534</v>
      </c>
      <c r="G39" s="1">
        <v>4</v>
      </c>
      <c r="H39" s="10">
        <f t="shared" si="0"/>
        <v>4375.68</v>
      </c>
    </row>
    <row r="40" spans="2:8" x14ac:dyDescent="0.25">
      <c r="B40" s="1">
        <v>-11</v>
      </c>
      <c r="C40" s="1">
        <f t="shared" si="1"/>
        <v>-11.13078</v>
      </c>
      <c r="D40" s="10">
        <f t="shared" si="2"/>
        <v>-1178.4101146187675</v>
      </c>
      <c r="E40" s="11">
        <f t="shared" si="3"/>
        <v>-1201.4655146187674</v>
      </c>
      <c r="G40" s="1">
        <v>5</v>
      </c>
      <c r="H40" s="10">
        <f t="shared" si="0"/>
        <v>5259.5</v>
      </c>
    </row>
    <row r="41" spans="2:8" x14ac:dyDescent="0.25">
      <c r="B41" s="1">
        <v>-10</v>
      </c>
      <c r="C41" s="1">
        <f t="shared" si="1"/>
        <v>-10.13078</v>
      </c>
      <c r="D41" s="10">
        <f t="shared" si="2"/>
        <v>-1193.6920101784924</v>
      </c>
      <c r="E41" s="11">
        <f t="shared" si="3"/>
        <v>-1216.7474101784924</v>
      </c>
      <c r="G41" s="1">
        <v>6</v>
      </c>
      <c r="H41" s="10">
        <f t="shared" si="0"/>
        <v>6059.28</v>
      </c>
    </row>
    <row r="42" spans="2:8" x14ac:dyDescent="0.25">
      <c r="B42" s="1">
        <v>-9</v>
      </c>
      <c r="C42" s="1">
        <f t="shared" si="1"/>
        <v>-9.1307799999999997</v>
      </c>
      <c r="D42" s="10">
        <f t="shared" si="2"/>
        <v>-1207.274278468165</v>
      </c>
      <c r="E42" s="11">
        <f t="shared" si="3"/>
        <v>-1230.329678468165</v>
      </c>
      <c r="G42" s="1">
        <v>7</v>
      </c>
      <c r="H42" s="10">
        <f t="shared" si="0"/>
        <v>6775.02</v>
      </c>
    </row>
    <row r="43" spans="2:8" x14ac:dyDescent="0.25">
      <c r="B43" s="1">
        <v>-8</v>
      </c>
      <c r="C43" s="1">
        <f t="shared" si="1"/>
        <v>-8.1307799999999997</v>
      </c>
      <c r="D43" s="10">
        <f t="shared" si="2"/>
        <v>-1217.1043027283042</v>
      </c>
      <c r="E43" s="11">
        <f t="shared" si="3"/>
        <v>-1240.1597027283042</v>
      </c>
      <c r="G43" s="1">
        <v>8</v>
      </c>
      <c r="H43" s="10">
        <f t="shared" si="0"/>
        <v>7406.7199999999993</v>
      </c>
    </row>
    <row r="44" spans="2:8" x14ac:dyDescent="0.25">
      <c r="B44" s="1">
        <v>-7</v>
      </c>
      <c r="C44" s="1">
        <f t="shared" si="1"/>
        <v>-7.1307799999999997</v>
      </c>
      <c r="D44" s="10">
        <f t="shared" si="2"/>
        <v>-1219.6644790005341</v>
      </c>
      <c r="E44" s="11">
        <f t="shared" si="3"/>
        <v>-1242.7198790005341</v>
      </c>
      <c r="G44" s="1">
        <v>9</v>
      </c>
      <c r="H44" s="10">
        <f t="shared" si="0"/>
        <v>7954.3799999999992</v>
      </c>
    </row>
    <row r="45" spans="2:8" x14ac:dyDescent="0.25">
      <c r="B45" s="1">
        <v>-6</v>
      </c>
      <c r="C45" s="1">
        <f t="shared" si="1"/>
        <v>-6.1307799999999997</v>
      </c>
      <c r="D45" s="10">
        <f t="shared" si="2"/>
        <v>-1209.0020695773489</v>
      </c>
      <c r="E45" s="11">
        <f t="shared" si="3"/>
        <v>-1232.0574695773489</v>
      </c>
      <c r="G45" s="1">
        <v>10</v>
      </c>
      <c r="H45" s="10">
        <f t="shared" si="0"/>
        <v>8418</v>
      </c>
    </row>
    <row r="46" spans="2:8" x14ac:dyDescent="0.25">
      <c r="B46" s="1">
        <v>-5</v>
      </c>
      <c r="C46" s="1">
        <f t="shared" si="1"/>
        <v>-5.1307799999999997</v>
      </c>
      <c r="D46" s="10">
        <f t="shared" si="2"/>
        <v>-1175.2758114317339</v>
      </c>
      <c r="E46" s="11">
        <f t="shared" si="3"/>
        <v>-1198.3312114317339</v>
      </c>
    </row>
    <row r="47" spans="2:8" x14ac:dyDescent="0.25">
      <c r="B47" s="1">
        <v>-4</v>
      </c>
      <c r="C47" s="1">
        <f t="shared" si="1"/>
        <v>-4.1307799999999997</v>
      </c>
      <c r="D47" s="10">
        <f t="shared" si="2"/>
        <v>-1103.00726681437</v>
      </c>
      <c r="E47" s="11">
        <f t="shared" si="3"/>
        <v>-1126.06266681437</v>
      </c>
    </row>
    <row r="48" spans="2:8" x14ac:dyDescent="0.25">
      <c r="B48" s="1">
        <v>-3</v>
      </c>
      <c r="C48" s="1">
        <f t="shared" si="1"/>
        <v>-3.1307800000000001</v>
      </c>
      <c r="D48" s="10">
        <f t="shared" si="2"/>
        <v>-970.33842035468683</v>
      </c>
      <c r="E48" s="11">
        <f t="shared" si="3"/>
        <v>-993.3938203546868</v>
      </c>
    </row>
    <row r="49" spans="2:5" x14ac:dyDescent="0.25">
      <c r="B49" s="1">
        <v>-2</v>
      </c>
      <c r="C49" s="1">
        <f t="shared" si="1"/>
        <v>-2.1307800000000001</v>
      </c>
      <c r="D49" s="10">
        <f t="shared" si="2"/>
        <v>-753.12642641686739</v>
      </c>
      <c r="E49" s="11">
        <f t="shared" si="3"/>
        <v>-776.18182641686735</v>
      </c>
    </row>
    <row r="50" spans="2:5" x14ac:dyDescent="0.25">
      <c r="B50" s="1">
        <v>-1</v>
      </c>
      <c r="C50" s="1">
        <f t="shared" si="1"/>
        <v>-1.1307800000000001</v>
      </c>
      <c r="D50" s="10">
        <f t="shared" si="2"/>
        <v>-439.6022636671201</v>
      </c>
      <c r="E50" s="11">
        <f t="shared" si="3"/>
        <v>-462.65766366712012</v>
      </c>
    </row>
    <row r="51" spans="2:5" x14ac:dyDescent="0.25">
      <c r="B51" s="1">
        <v>0</v>
      </c>
      <c r="C51" s="1">
        <f t="shared" si="1"/>
        <v>-0.13078000000000001</v>
      </c>
      <c r="D51" s="10">
        <f t="shared" si="2"/>
        <v>-52.938299313933648</v>
      </c>
      <c r="E51" s="11">
        <f t="shared" si="3"/>
        <v>-75.993699313933647</v>
      </c>
    </row>
    <row r="52" spans="2:5" x14ac:dyDescent="0.25">
      <c r="B52" s="5">
        <v>1</v>
      </c>
      <c r="C52" s="1">
        <f t="shared" si="1"/>
        <v>0.86921999999999999</v>
      </c>
      <c r="D52" s="10">
        <f t="shared" si="2"/>
        <v>343.53558965534575</v>
      </c>
      <c r="E52" s="11">
        <f t="shared" si="3"/>
        <v>320.48018965534573</v>
      </c>
    </row>
    <row r="53" spans="2:5" x14ac:dyDescent="0.25">
      <c r="B53" s="5">
        <v>2</v>
      </c>
      <c r="C53" s="1">
        <f t="shared" si="1"/>
        <v>1.8692199999999999</v>
      </c>
      <c r="D53" s="10">
        <f t="shared" si="2"/>
        <v>680.26647446410539</v>
      </c>
      <c r="E53" s="11">
        <f t="shared" si="3"/>
        <v>657.21107446410542</v>
      </c>
    </row>
    <row r="54" spans="2:5" x14ac:dyDescent="0.25">
      <c r="B54" s="5">
        <v>3</v>
      </c>
      <c r="C54" s="1">
        <f t="shared" si="1"/>
        <v>2.8692199999999999</v>
      </c>
      <c r="D54" s="10">
        <f t="shared" si="2"/>
        <v>922.5591388607927</v>
      </c>
      <c r="E54" s="11">
        <f t="shared" si="3"/>
        <v>899.50373886079274</v>
      </c>
    </row>
    <row r="55" spans="2:5" x14ac:dyDescent="0.25">
      <c r="B55" s="5">
        <v>4</v>
      </c>
      <c r="C55" s="1">
        <f t="shared" si="1"/>
        <v>3.8692199999999999</v>
      </c>
      <c r="D55" s="10">
        <f t="shared" si="2"/>
        <v>1075.1491943480648</v>
      </c>
      <c r="E55" s="11">
        <f t="shared" si="3"/>
        <v>1052.0937943480649</v>
      </c>
    </row>
    <row r="56" spans="2:5" x14ac:dyDescent="0.25">
      <c r="B56" s="5">
        <v>5</v>
      </c>
      <c r="C56" s="1">
        <f t="shared" si="1"/>
        <v>4.8692200000000003</v>
      </c>
      <c r="D56" s="10">
        <f t="shared" si="2"/>
        <v>1160.8759993074245</v>
      </c>
      <c r="E56" s="11">
        <f t="shared" si="3"/>
        <v>1137.8205993074246</v>
      </c>
    </row>
    <row r="57" spans="2:5" x14ac:dyDescent="0.25">
      <c r="B57" s="5">
        <v>6</v>
      </c>
      <c r="C57" s="1">
        <f t="shared" si="1"/>
        <v>5.8692200000000003</v>
      </c>
      <c r="D57" s="10">
        <f t="shared" si="2"/>
        <v>1202.9235681500579</v>
      </c>
      <c r="E57" s="11">
        <f t="shared" si="3"/>
        <v>1179.868168150058</v>
      </c>
    </row>
    <row r="58" spans="2:5" x14ac:dyDescent="0.25">
      <c r="B58" s="5">
        <v>7</v>
      </c>
      <c r="C58" s="1">
        <f t="shared" si="1"/>
        <v>6.8692200000000003</v>
      </c>
      <c r="D58" s="10">
        <f t="shared" si="2"/>
        <v>1218.4698472722503</v>
      </c>
      <c r="E58" s="11">
        <f t="shared" si="3"/>
        <v>1195.4144472722503</v>
      </c>
    </row>
    <row r="59" spans="2:5" x14ac:dyDescent="0.25">
      <c r="B59" s="5">
        <v>8</v>
      </c>
      <c r="C59" s="1">
        <f t="shared" si="1"/>
        <v>7.8692200000000003</v>
      </c>
      <c r="D59" s="10">
        <f t="shared" si="2"/>
        <v>1218.6650311152362</v>
      </c>
      <c r="E59" s="11">
        <f t="shared" si="3"/>
        <v>1195.6096311152362</v>
      </c>
    </row>
    <row r="60" spans="2:5" x14ac:dyDescent="0.25">
      <c r="B60" s="5">
        <v>9</v>
      </c>
      <c r="C60" s="1">
        <f t="shared" si="1"/>
        <v>8.8692200000000003</v>
      </c>
      <c r="D60" s="10">
        <f t="shared" si="2"/>
        <v>1210.3186470215076</v>
      </c>
      <c r="E60" s="11">
        <f t="shared" si="3"/>
        <v>1187.2632470215076</v>
      </c>
    </row>
    <row r="61" spans="2:5" x14ac:dyDescent="0.25">
      <c r="B61" s="5">
        <v>10</v>
      </c>
      <c r="C61" s="1">
        <f t="shared" si="1"/>
        <v>9.8692200000000003</v>
      </c>
      <c r="D61" s="10">
        <f t="shared" si="2"/>
        <v>1197.4730745234428</v>
      </c>
      <c r="E61" s="11">
        <f t="shared" si="3"/>
        <v>1174.4176745234429</v>
      </c>
    </row>
    <row r="62" spans="2:5" x14ac:dyDescent="0.25">
      <c r="B62" s="5">
        <v>11</v>
      </c>
      <c r="C62" s="1">
        <f t="shared" si="1"/>
        <v>10.86922</v>
      </c>
      <c r="D62" s="10">
        <f t="shared" si="2"/>
        <v>1182.4938821366857</v>
      </c>
      <c r="E62" s="11">
        <f t="shared" si="3"/>
        <v>1159.4384821366857</v>
      </c>
    </row>
    <row r="63" spans="2:5" x14ac:dyDescent="0.25">
      <c r="B63" s="5">
        <v>12</v>
      </c>
      <c r="C63" s="1">
        <f t="shared" si="1"/>
        <v>11.86922</v>
      </c>
      <c r="D63" s="10">
        <f t="shared" si="2"/>
        <v>1166.7503413228758</v>
      </c>
      <c r="E63" s="11">
        <f t="shared" si="3"/>
        <v>1143.6949413228758</v>
      </c>
    </row>
    <row r="64" spans="2:5" x14ac:dyDescent="0.25">
      <c r="B64" s="5">
        <v>13</v>
      </c>
      <c r="C64" s="1">
        <f t="shared" si="1"/>
        <v>12.86922</v>
      </c>
      <c r="D64" s="10">
        <f t="shared" si="2"/>
        <v>1151.0230205788162</v>
      </c>
      <c r="E64" s="11">
        <f t="shared" si="3"/>
        <v>1127.9676205788162</v>
      </c>
    </row>
    <row r="65" spans="2:5" x14ac:dyDescent="0.25">
      <c r="B65" s="5">
        <v>14</v>
      </c>
      <c r="C65" s="1">
        <f t="shared" si="1"/>
        <v>13.86922</v>
      </c>
      <c r="D65" s="10">
        <f t="shared" si="2"/>
        <v>1135.744561169264</v>
      </c>
      <c r="E65" s="11">
        <f t="shared" si="3"/>
        <v>1112.689161169264</v>
      </c>
    </row>
    <row r="66" spans="2:5" x14ac:dyDescent="0.25">
      <c r="B66" s="5">
        <v>15</v>
      </c>
      <c r="C66" s="1">
        <f t="shared" si="1"/>
        <v>14.86922</v>
      </c>
      <c r="D66" s="10">
        <f t="shared" si="2"/>
        <v>1121.1417590456954</v>
      </c>
      <c r="E66" s="11">
        <f t="shared" si="3"/>
        <v>1098.0863590456954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L83"/>
  <sheetViews>
    <sheetView topLeftCell="A31" zoomScale="115" zoomScaleNormal="115" workbookViewId="0">
      <selection activeCell="D11" sqref="D11"/>
    </sheetView>
  </sheetViews>
  <sheetFormatPr defaultColWidth="11.42578125" defaultRowHeight="15" x14ac:dyDescent="0.25"/>
  <cols>
    <col min="3" max="3" width="16.42578125" customWidth="1"/>
    <col min="5" max="5" width="14.7109375" customWidth="1"/>
    <col min="12" max="12" width="12" bestFit="1" customWidth="1"/>
  </cols>
  <sheetData>
    <row r="17" spans="2:12" x14ac:dyDescent="0.25">
      <c r="B17" s="3" t="s">
        <v>19</v>
      </c>
      <c r="C17" s="1">
        <v>2.3727200000000002</v>
      </c>
    </row>
    <row r="18" spans="2:12" x14ac:dyDescent="0.25">
      <c r="B18" s="3" t="s">
        <v>20</v>
      </c>
      <c r="C18" s="1">
        <v>-9.4600000000000009</v>
      </c>
    </row>
    <row r="19" spans="2:12" x14ac:dyDescent="0.25">
      <c r="B19" s="3" t="s">
        <v>21</v>
      </c>
      <c r="C19" s="1">
        <v>1490</v>
      </c>
    </row>
    <row r="20" spans="2:12" x14ac:dyDescent="0.25">
      <c r="B20" s="3" t="s">
        <v>22</v>
      </c>
      <c r="C20" s="1">
        <v>130</v>
      </c>
    </row>
    <row r="21" spans="2:12" x14ac:dyDescent="0.25">
      <c r="B21" s="3" t="s">
        <v>23</v>
      </c>
      <c r="C21" s="1">
        <v>276</v>
      </c>
    </row>
    <row r="22" spans="2:12" x14ac:dyDescent="0.25">
      <c r="B22" s="3" t="s">
        <v>24</v>
      </c>
      <c r="C22" s="1">
        <v>8.8599999999999998E-2</v>
      </c>
    </row>
    <row r="23" spans="2:12" x14ac:dyDescent="0.25">
      <c r="B23" s="3" t="s">
        <v>25</v>
      </c>
      <c r="C23" s="1">
        <v>4.0200000000000001E-4</v>
      </c>
    </row>
    <row r="24" spans="2:12" x14ac:dyDescent="0.25">
      <c r="B24" s="3" t="s">
        <v>26</v>
      </c>
      <c r="C24" s="1">
        <v>-6.1499999999999999E-2</v>
      </c>
    </row>
    <row r="25" spans="2:12" x14ac:dyDescent="0.25">
      <c r="B25" s="3" t="s">
        <v>27</v>
      </c>
      <c r="C25" s="1">
        <v>1.2</v>
      </c>
    </row>
    <row r="26" spans="2:12" x14ac:dyDescent="0.25">
      <c r="B26" s="3" t="s">
        <v>28</v>
      </c>
      <c r="C26" s="1">
        <v>0</v>
      </c>
    </row>
    <row r="27" spans="2:12" x14ac:dyDescent="0.25">
      <c r="B27" s="3" t="s">
        <v>29</v>
      </c>
      <c r="C27" s="1">
        <v>0</v>
      </c>
    </row>
    <row r="29" spans="2:12" x14ac:dyDescent="0.25">
      <c r="B29" s="3" t="s">
        <v>48</v>
      </c>
      <c r="C29" s="3" t="s">
        <v>49</v>
      </c>
      <c r="E29" s="12" t="s">
        <v>69</v>
      </c>
      <c r="F29" s="13" t="s">
        <v>70</v>
      </c>
      <c r="G29" s="12" t="s">
        <v>71</v>
      </c>
      <c r="H29" s="12" t="s">
        <v>72</v>
      </c>
      <c r="I29" s="12" t="s">
        <v>73</v>
      </c>
      <c r="J29" s="12" t="s">
        <v>74</v>
      </c>
      <c r="K29" s="12" t="s">
        <v>75</v>
      </c>
      <c r="L29" s="12" t="s">
        <v>76</v>
      </c>
    </row>
    <row r="30" spans="2:12" x14ac:dyDescent="0.25">
      <c r="B30" s="5" t="s">
        <v>50</v>
      </c>
      <c r="C30" s="1" t="s">
        <v>51</v>
      </c>
      <c r="E30" s="5">
        <f>F30*C31</f>
        <v>1480.54</v>
      </c>
      <c r="F30" s="5">
        <f>b1_*C31+b2_</f>
        <v>1480.54</v>
      </c>
      <c r="G30" s="5">
        <f>(b3_*C31^2+b4_*C31)*EXP(-b5_*C31)</f>
        <v>371.57590351052249</v>
      </c>
      <c r="H30" s="5">
        <f>b0_</f>
        <v>2.3727200000000002</v>
      </c>
      <c r="I30" s="5">
        <f>b6_*C31^2+b7_*C31+b8_</f>
        <v>1.1389019999999999</v>
      </c>
      <c r="J30" s="5">
        <f>bcdx/(cx*dx)</f>
        <v>0.10577448175773924</v>
      </c>
      <c r="K30" s="5">
        <f>b9_*B31+b10_</f>
        <v>0</v>
      </c>
      <c r="L30" s="5">
        <v>0</v>
      </c>
    </row>
    <row r="31" spans="2:12" x14ac:dyDescent="0.25">
      <c r="B31" s="8">
        <v>0</v>
      </c>
      <c r="C31" s="8">
        <v>1</v>
      </c>
    </row>
    <row r="33" spans="2:8" x14ac:dyDescent="0.25">
      <c r="B33" s="6" t="s">
        <v>64</v>
      </c>
      <c r="C33" s="6" t="s">
        <v>65</v>
      </c>
      <c r="D33" s="6" t="s">
        <v>66</v>
      </c>
      <c r="E33" s="6" t="s">
        <v>67</v>
      </c>
      <c r="G33" s="9" t="s">
        <v>49</v>
      </c>
      <c r="H33" s="9" t="s">
        <v>81</v>
      </c>
    </row>
    <row r="34" spans="2:8" x14ac:dyDescent="0.25">
      <c r="B34" s="3" t="s">
        <v>78</v>
      </c>
      <c r="C34" s="3" t="s">
        <v>79</v>
      </c>
      <c r="D34" s="3" t="s">
        <v>80</v>
      </c>
      <c r="E34" s="3" t="s">
        <v>77</v>
      </c>
      <c r="G34" s="1">
        <v>0</v>
      </c>
      <c r="H34" s="1">
        <f t="shared" ref="H34:H44" si="0">b1_*G34^2+b2_*G34</f>
        <v>0</v>
      </c>
    </row>
    <row r="35" spans="2:8" x14ac:dyDescent="0.25">
      <c r="B35" s="1">
        <v>-100</v>
      </c>
      <c r="C35" s="1">
        <f t="shared" ref="C35:C43" si="1">B35+$K$30</f>
        <v>-100</v>
      </c>
      <c r="D35" s="10">
        <f t="shared" ref="D35:D43" si="2">$E$30*SIN($H$30*ATAN($J$30*C35-$I$30*($J$30*C35-ATAN($J$30*C35))))</f>
        <v>-705.3709510429502</v>
      </c>
      <c r="E35" s="11">
        <f t="shared" ref="E35:E43" si="3">D35+$L$30</f>
        <v>-705.3709510429502</v>
      </c>
      <c r="G35" s="1">
        <v>1</v>
      </c>
      <c r="H35" s="10">
        <f t="shared" si="0"/>
        <v>1480.54</v>
      </c>
    </row>
    <row r="36" spans="2:8" x14ac:dyDescent="0.25">
      <c r="B36" s="1">
        <v>-90</v>
      </c>
      <c r="C36" s="1">
        <f t="shared" si="1"/>
        <v>-90</v>
      </c>
      <c r="D36" s="10">
        <f t="shared" si="2"/>
        <v>-1055.3473924000584</v>
      </c>
      <c r="E36" s="11">
        <f t="shared" si="3"/>
        <v>-1055.3473924000584</v>
      </c>
      <c r="G36" s="1">
        <v>2</v>
      </c>
      <c r="H36" s="10">
        <f t="shared" si="0"/>
        <v>2942.16</v>
      </c>
    </row>
    <row r="37" spans="2:8" x14ac:dyDescent="0.25">
      <c r="B37" s="1">
        <v>-80</v>
      </c>
      <c r="C37" s="1">
        <f t="shared" si="1"/>
        <v>-80</v>
      </c>
      <c r="D37" s="10">
        <f t="shared" si="2"/>
        <v>-1292.3722264939991</v>
      </c>
      <c r="E37" s="11">
        <f t="shared" si="3"/>
        <v>-1292.3722264939991</v>
      </c>
      <c r="G37" s="1">
        <v>3</v>
      </c>
      <c r="H37" s="10">
        <f t="shared" si="0"/>
        <v>4384.8599999999997</v>
      </c>
    </row>
    <row r="38" spans="2:8" x14ac:dyDescent="0.25">
      <c r="B38" s="1">
        <v>-70</v>
      </c>
      <c r="C38" s="1">
        <f t="shared" si="1"/>
        <v>-70</v>
      </c>
      <c r="D38" s="10">
        <f t="shared" si="2"/>
        <v>-1424.8023170513882</v>
      </c>
      <c r="E38" s="11">
        <f t="shared" si="3"/>
        <v>-1424.8023170513882</v>
      </c>
      <c r="G38" s="1">
        <v>4</v>
      </c>
      <c r="H38" s="10">
        <f t="shared" si="0"/>
        <v>5808.64</v>
      </c>
    </row>
    <row r="39" spans="2:8" x14ac:dyDescent="0.25">
      <c r="B39" s="1">
        <v>-60</v>
      </c>
      <c r="C39" s="1">
        <f t="shared" si="1"/>
        <v>-60</v>
      </c>
      <c r="D39" s="10">
        <f t="shared" si="2"/>
        <v>-1476.3271979984825</v>
      </c>
      <c r="E39" s="11">
        <f t="shared" si="3"/>
        <v>-1476.3271979984825</v>
      </c>
      <c r="G39" s="1">
        <v>5</v>
      </c>
      <c r="H39" s="10">
        <f t="shared" si="0"/>
        <v>7213.5</v>
      </c>
    </row>
    <row r="40" spans="2:8" x14ac:dyDescent="0.25">
      <c r="B40" s="1">
        <v>-50</v>
      </c>
      <c r="C40" s="1">
        <f t="shared" si="1"/>
        <v>-50</v>
      </c>
      <c r="D40" s="10">
        <f t="shared" si="2"/>
        <v>-1474.6718913154446</v>
      </c>
      <c r="E40" s="11">
        <f t="shared" si="3"/>
        <v>-1474.6718913154446</v>
      </c>
      <c r="G40" s="1">
        <v>6</v>
      </c>
      <c r="H40" s="10">
        <f t="shared" si="0"/>
        <v>8599.44</v>
      </c>
    </row>
    <row r="41" spans="2:8" x14ac:dyDescent="0.25">
      <c r="B41" s="1">
        <v>-40</v>
      </c>
      <c r="C41" s="1">
        <f t="shared" si="1"/>
        <v>-40</v>
      </c>
      <c r="D41" s="10">
        <f t="shared" si="2"/>
        <v>-1446.2819793623107</v>
      </c>
      <c r="E41" s="11">
        <f t="shared" si="3"/>
        <v>-1446.2819793623107</v>
      </c>
      <c r="G41" s="1">
        <v>7</v>
      </c>
      <c r="H41" s="10">
        <f t="shared" si="0"/>
        <v>9966.4599999999991</v>
      </c>
    </row>
    <row r="42" spans="2:8" x14ac:dyDescent="0.25">
      <c r="B42" s="1">
        <v>-30</v>
      </c>
      <c r="C42" s="1">
        <f t="shared" si="1"/>
        <v>-30</v>
      </c>
      <c r="D42" s="10">
        <f t="shared" si="2"/>
        <v>-1417.2892575468416</v>
      </c>
      <c r="E42" s="11">
        <f t="shared" si="3"/>
        <v>-1417.2892575468416</v>
      </c>
      <c r="G42" s="1">
        <v>8</v>
      </c>
      <c r="H42" s="10">
        <f t="shared" si="0"/>
        <v>11314.56</v>
      </c>
    </row>
    <row r="43" spans="2:8" x14ac:dyDescent="0.25">
      <c r="B43" s="1">
        <v>-20</v>
      </c>
      <c r="C43" s="1">
        <f t="shared" si="1"/>
        <v>-20</v>
      </c>
      <c r="D43" s="10">
        <f t="shared" si="2"/>
        <v>-1421.4492910245167</v>
      </c>
      <c r="E43" s="11">
        <f t="shared" si="3"/>
        <v>-1421.4492910245167</v>
      </c>
      <c r="G43" s="1">
        <v>9</v>
      </c>
      <c r="H43" s="10">
        <f t="shared" si="0"/>
        <v>12643.74</v>
      </c>
    </row>
    <row r="44" spans="2:8" x14ac:dyDescent="0.25">
      <c r="B44" s="1">
        <v>-15</v>
      </c>
      <c r="C44" s="1">
        <f>B44+$K$30</f>
        <v>-15</v>
      </c>
      <c r="D44" s="10">
        <f>$E$30*SIN($H$30*ATAN($J$30*C44-$I$30*($J$30*C44-ATAN($J$30*C44))))</f>
        <v>-1449.7506100203589</v>
      </c>
      <c r="E44" s="11">
        <f>D44+$L$30</f>
        <v>-1449.7506100203589</v>
      </c>
      <c r="G44" s="1">
        <v>10</v>
      </c>
      <c r="H44" s="1">
        <f t="shared" si="0"/>
        <v>13954</v>
      </c>
    </row>
    <row r="45" spans="2:8" x14ac:dyDescent="0.25">
      <c r="B45" s="1">
        <v>-14</v>
      </c>
      <c r="C45" s="1">
        <f t="shared" ref="C45:C83" si="4">B45+$K$30</f>
        <v>-14</v>
      </c>
      <c r="D45" s="10">
        <f t="shared" ref="D45:D83" si="5">$E$30*SIN($H$30*ATAN($J$30*C45-$I$30*($J$30*C45-ATAN($J$30*C45))))</f>
        <v>-1457.4331691148827</v>
      </c>
      <c r="E45" s="11">
        <f t="shared" ref="E45:E83" si="6">D45+$L$30</f>
        <v>-1457.4331691148827</v>
      </c>
    </row>
    <row r="46" spans="2:8" x14ac:dyDescent="0.25">
      <c r="B46" s="1">
        <v>-13</v>
      </c>
      <c r="C46" s="1">
        <f t="shared" si="4"/>
        <v>-13</v>
      </c>
      <c r="D46" s="10">
        <f t="shared" si="5"/>
        <v>-1465.2182503673571</v>
      </c>
      <c r="E46" s="11">
        <f t="shared" si="6"/>
        <v>-1465.2182503673571</v>
      </c>
    </row>
    <row r="47" spans="2:8" x14ac:dyDescent="0.25">
      <c r="B47" s="1">
        <v>-12</v>
      </c>
      <c r="C47" s="1">
        <f t="shared" si="4"/>
        <v>-12</v>
      </c>
      <c r="D47" s="10">
        <f t="shared" si="5"/>
        <v>-1472.4642745605015</v>
      </c>
      <c r="E47" s="11">
        <f t="shared" si="6"/>
        <v>-1472.4642745605015</v>
      </c>
    </row>
    <row r="48" spans="2:8" x14ac:dyDescent="0.25">
      <c r="B48" s="1">
        <v>-11</v>
      </c>
      <c r="C48" s="1">
        <f t="shared" si="4"/>
        <v>-11</v>
      </c>
      <c r="D48" s="10">
        <f t="shared" si="5"/>
        <v>-1478.1258808037092</v>
      </c>
      <c r="E48" s="11">
        <f t="shared" si="6"/>
        <v>-1478.1258808037092</v>
      </c>
    </row>
    <row r="49" spans="2:5" x14ac:dyDescent="0.25">
      <c r="B49" s="1">
        <v>-10</v>
      </c>
      <c r="C49" s="1">
        <f t="shared" si="4"/>
        <v>-10</v>
      </c>
      <c r="D49" s="10">
        <f t="shared" si="5"/>
        <v>-1480.5399544480265</v>
      </c>
      <c r="E49" s="11">
        <f t="shared" si="6"/>
        <v>-1480.5399544480265</v>
      </c>
    </row>
    <row r="50" spans="2:5" x14ac:dyDescent="0.25">
      <c r="B50" s="1">
        <v>-9</v>
      </c>
      <c r="C50" s="1">
        <f t="shared" si="4"/>
        <v>-9</v>
      </c>
      <c r="D50" s="10">
        <f t="shared" si="5"/>
        <v>-1477.1125325188759</v>
      </c>
      <c r="E50" s="11">
        <f t="shared" si="6"/>
        <v>-1477.1125325188759</v>
      </c>
    </row>
    <row r="51" spans="2:5" x14ac:dyDescent="0.25">
      <c r="B51" s="1">
        <v>-8</v>
      </c>
      <c r="C51" s="1">
        <f t="shared" si="4"/>
        <v>-8</v>
      </c>
      <c r="D51" s="10">
        <f t="shared" si="5"/>
        <v>-1463.882035199568</v>
      </c>
      <c r="E51" s="11">
        <f t="shared" si="6"/>
        <v>-1463.882035199568</v>
      </c>
    </row>
    <row r="52" spans="2:5" x14ac:dyDescent="0.25">
      <c r="B52" s="1">
        <v>-7</v>
      </c>
      <c r="C52" s="1">
        <f t="shared" si="4"/>
        <v>-7</v>
      </c>
      <c r="D52" s="10">
        <f t="shared" si="5"/>
        <v>-1434.963097915796</v>
      </c>
      <c r="E52" s="11">
        <f t="shared" si="6"/>
        <v>-1434.963097915796</v>
      </c>
    </row>
    <row r="53" spans="2:5" x14ac:dyDescent="0.25">
      <c r="B53" s="1">
        <v>-6</v>
      </c>
      <c r="C53" s="1">
        <f t="shared" si="4"/>
        <v>-6</v>
      </c>
      <c r="D53" s="10">
        <f t="shared" si="5"/>
        <v>-1381.9667600864691</v>
      </c>
      <c r="E53" s="11">
        <f t="shared" si="6"/>
        <v>-1381.9667600864691</v>
      </c>
    </row>
    <row r="54" spans="2:5" x14ac:dyDescent="0.25">
      <c r="B54" s="1">
        <v>-5</v>
      </c>
      <c r="C54" s="1">
        <f t="shared" si="4"/>
        <v>-5</v>
      </c>
      <c r="D54" s="10">
        <f t="shared" si="5"/>
        <v>-1293.7051133800733</v>
      </c>
      <c r="E54" s="11">
        <f t="shared" si="6"/>
        <v>-1293.7051133800733</v>
      </c>
    </row>
    <row r="55" spans="2:5" x14ac:dyDescent="0.25">
      <c r="B55" s="1">
        <v>-4</v>
      </c>
      <c r="C55" s="1">
        <f t="shared" si="4"/>
        <v>-4</v>
      </c>
      <c r="D55" s="10">
        <f t="shared" si="5"/>
        <v>-1156.8593723906222</v>
      </c>
      <c r="E55" s="11">
        <f t="shared" si="6"/>
        <v>-1156.8593723906222</v>
      </c>
    </row>
    <row r="56" spans="2:5" x14ac:dyDescent="0.25">
      <c r="B56" s="1">
        <v>-3</v>
      </c>
      <c r="C56" s="1">
        <f t="shared" si="4"/>
        <v>-3</v>
      </c>
      <c r="D56" s="10">
        <f t="shared" si="5"/>
        <v>-958.67068885921572</v>
      </c>
      <c r="E56" s="11">
        <f t="shared" si="6"/>
        <v>-958.67068885921572</v>
      </c>
    </row>
    <row r="57" spans="2:5" x14ac:dyDescent="0.25">
      <c r="B57" s="1">
        <v>-2</v>
      </c>
      <c r="C57" s="1">
        <f t="shared" si="4"/>
        <v>-2</v>
      </c>
      <c r="D57" s="10">
        <f t="shared" si="5"/>
        <v>-692.46264454230482</v>
      </c>
      <c r="E57" s="11">
        <f t="shared" si="6"/>
        <v>-692.46264454230482</v>
      </c>
    </row>
    <row r="58" spans="2:5" x14ac:dyDescent="0.25">
      <c r="B58" s="1">
        <v>-1</v>
      </c>
      <c r="C58" s="1">
        <f t="shared" si="4"/>
        <v>-1</v>
      </c>
      <c r="D58" s="10">
        <f t="shared" si="5"/>
        <v>-364.85138398685172</v>
      </c>
      <c r="E58" s="11">
        <f t="shared" si="6"/>
        <v>-364.85138398685172</v>
      </c>
    </row>
    <row r="59" spans="2:5" x14ac:dyDescent="0.25">
      <c r="B59" s="1">
        <v>0</v>
      </c>
      <c r="C59" s="1">
        <f t="shared" si="4"/>
        <v>0</v>
      </c>
      <c r="D59" s="10">
        <f t="shared" si="5"/>
        <v>0</v>
      </c>
      <c r="E59" s="11">
        <f t="shared" si="6"/>
        <v>0</v>
      </c>
    </row>
    <row r="60" spans="2:5" x14ac:dyDescent="0.25">
      <c r="B60" s="5">
        <v>1</v>
      </c>
      <c r="C60" s="1">
        <f t="shared" si="4"/>
        <v>1</v>
      </c>
      <c r="D60" s="10">
        <f t="shared" si="5"/>
        <v>364.85138398685172</v>
      </c>
      <c r="E60" s="11">
        <f t="shared" si="6"/>
        <v>364.85138398685172</v>
      </c>
    </row>
    <row r="61" spans="2:5" x14ac:dyDescent="0.25">
      <c r="B61" s="5">
        <v>2</v>
      </c>
      <c r="C61" s="1">
        <f t="shared" si="4"/>
        <v>2</v>
      </c>
      <c r="D61" s="10">
        <f t="shared" si="5"/>
        <v>692.46264454230482</v>
      </c>
      <c r="E61" s="11">
        <f t="shared" si="6"/>
        <v>692.46264454230482</v>
      </c>
    </row>
    <row r="62" spans="2:5" x14ac:dyDescent="0.25">
      <c r="B62" s="5">
        <v>3</v>
      </c>
      <c r="C62" s="1">
        <f t="shared" si="4"/>
        <v>3</v>
      </c>
      <c r="D62" s="10">
        <f t="shared" si="5"/>
        <v>958.67068885921572</v>
      </c>
      <c r="E62" s="11">
        <f t="shared" si="6"/>
        <v>958.67068885921572</v>
      </c>
    </row>
    <row r="63" spans="2:5" x14ac:dyDescent="0.25">
      <c r="B63" s="5">
        <v>4</v>
      </c>
      <c r="C63" s="1">
        <f t="shared" si="4"/>
        <v>4</v>
      </c>
      <c r="D63" s="10">
        <f t="shared" si="5"/>
        <v>1156.8593723906222</v>
      </c>
      <c r="E63" s="11">
        <f t="shared" si="6"/>
        <v>1156.8593723906222</v>
      </c>
    </row>
    <row r="64" spans="2:5" x14ac:dyDescent="0.25">
      <c r="B64" s="5">
        <v>5</v>
      </c>
      <c r="C64" s="1">
        <f t="shared" si="4"/>
        <v>5</v>
      </c>
      <c r="D64" s="10">
        <f t="shared" si="5"/>
        <v>1293.7051133800733</v>
      </c>
      <c r="E64" s="11">
        <f t="shared" si="6"/>
        <v>1293.7051133800733</v>
      </c>
    </row>
    <row r="65" spans="2:5" x14ac:dyDescent="0.25">
      <c r="B65" s="5">
        <v>6</v>
      </c>
      <c r="C65" s="1">
        <f t="shared" si="4"/>
        <v>6</v>
      </c>
      <c r="D65" s="10">
        <f t="shared" si="5"/>
        <v>1381.9667600864691</v>
      </c>
      <c r="E65" s="11">
        <f t="shared" si="6"/>
        <v>1381.9667600864691</v>
      </c>
    </row>
    <row r="66" spans="2:5" x14ac:dyDescent="0.25">
      <c r="B66" s="5">
        <v>7</v>
      </c>
      <c r="C66" s="1">
        <f t="shared" si="4"/>
        <v>7</v>
      </c>
      <c r="D66" s="10">
        <f t="shared" si="5"/>
        <v>1434.963097915796</v>
      </c>
      <c r="E66" s="11">
        <f t="shared" si="6"/>
        <v>1434.963097915796</v>
      </c>
    </row>
    <row r="67" spans="2:5" x14ac:dyDescent="0.25">
      <c r="B67" s="5">
        <v>8</v>
      </c>
      <c r="C67" s="1">
        <f t="shared" si="4"/>
        <v>8</v>
      </c>
      <c r="D67" s="10">
        <f t="shared" si="5"/>
        <v>1463.882035199568</v>
      </c>
      <c r="E67" s="11">
        <f t="shared" si="6"/>
        <v>1463.882035199568</v>
      </c>
    </row>
    <row r="68" spans="2:5" x14ac:dyDescent="0.25">
      <c r="B68" s="5">
        <v>9</v>
      </c>
      <c r="C68" s="1">
        <f t="shared" si="4"/>
        <v>9</v>
      </c>
      <c r="D68" s="10">
        <f t="shared" si="5"/>
        <v>1477.1125325188759</v>
      </c>
      <c r="E68" s="11">
        <f t="shared" si="6"/>
        <v>1477.1125325188759</v>
      </c>
    </row>
    <row r="69" spans="2:5" x14ac:dyDescent="0.25">
      <c r="B69" s="5">
        <v>10</v>
      </c>
      <c r="C69" s="1">
        <f t="shared" si="4"/>
        <v>10</v>
      </c>
      <c r="D69" s="10">
        <f t="shared" si="5"/>
        <v>1480.5399544480265</v>
      </c>
      <c r="E69" s="11">
        <f t="shared" si="6"/>
        <v>1480.5399544480265</v>
      </c>
    </row>
    <row r="70" spans="2:5" x14ac:dyDescent="0.25">
      <c r="B70" s="5">
        <v>11</v>
      </c>
      <c r="C70" s="1">
        <f t="shared" si="4"/>
        <v>11</v>
      </c>
      <c r="D70" s="10">
        <f t="shared" si="5"/>
        <v>1478.1258808037092</v>
      </c>
      <c r="E70" s="11">
        <f t="shared" si="6"/>
        <v>1478.1258808037092</v>
      </c>
    </row>
    <row r="71" spans="2:5" x14ac:dyDescent="0.25">
      <c r="B71" s="5">
        <v>12</v>
      </c>
      <c r="C71" s="1">
        <f t="shared" si="4"/>
        <v>12</v>
      </c>
      <c r="D71" s="10">
        <f t="shared" si="5"/>
        <v>1472.4642745605015</v>
      </c>
      <c r="E71" s="11">
        <f t="shared" si="6"/>
        <v>1472.4642745605015</v>
      </c>
    </row>
    <row r="72" spans="2:5" x14ac:dyDescent="0.25">
      <c r="B72" s="5">
        <v>13</v>
      </c>
      <c r="C72" s="1">
        <f t="shared" si="4"/>
        <v>13</v>
      </c>
      <c r="D72" s="10">
        <f t="shared" si="5"/>
        <v>1465.2182503673571</v>
      </c>
      <c r="E72" s="11">
        <f t="shared" si="6"/>
        <v>1465.2182503673571</v>
      </c>
    </row>
    <row r="73" spans="2:5" x14ac:dyDescent="0.25">
      <c r="B73" s="5">
        <v>14</v>
      </c>
      <c r="C73" s="1">
        <f t="shared" si="4"/>
        <v>14</v>
      </c>
      <c r="D73" s="10">
        <f t="shared" si="5"/>
        <v>1457.4331691148827</v>
      </c>
      <c r="E73" s="11">
        <f t="shared" si="6"/>
        <v>1457.4331691148827</v>
      </c>
    </row>
    <row r="74" spans="2:5" x14ac:dyDescent="0.25">
      <c r="B74" s="5">
        <v>15</v>
      </c>
      <c r="C74" s="1">
        <f t="shared" si="4"/>
        <v>15</v>
      </c>
      <c r="D74" s="10">
        <f t="shared" si="5"/>
        <v>1449.7506100203589</v>
      </c>
      <c r="E74" s="11">
        <f t="shared" si="6"/>
        <v>1449.7506100203589</v>
      </c>
    </row>
    <row r="75" spans="2:5" x14ac:dyDescent="0.25">
      <c r="B75" s="5">
        <v>20</v>
      </c>
      <c r="C75" s="5">
        <f t="shared" si="4"/>
        <v>20</v>
      </c>
      <c r="D75" s="14">
        <f t="shared" si="5"/>
        <v>1421.4492910245167</v>
      </c>
      <c r="E75" s="15">
        <f t="shared" si="6"/>
        <v>1421.4492910245167</v>
      </c>
    </row>
    <row r="76" spans="2:5" x14ac:dyDescent="0.25">
      <c r="B76" s="5">
        <v>30</v>
      </c>
      <c r="C76" s="5">
        <f t="shared" si="4"/>
        <v>30</v>
      </c>
      <c r="D76" s="14">
        <f t="shared" si="5"/>
        <v>1417.2892575468416</v>
      </c>
      <c r="E76" s="15">
        <f t="shared" si="6"/>
        <v>1417.2892575468416</v>
      </c>
    </row>
    <row r="77" spans="2:5" x14ac:dyDescent="0.25">
      <c r="B77" s="5">
        <v>40</v>
      </c>
      <c r="C77" s="5">
        <f t="shared" si="4"/>
        <v>40</v>
      </c>
      <c r="D77" s="14">
        <f t="shared" si="5"/>
        <v>1446.2819793623107</v>
      </c>
      <c r="E77" s="15">
        <f t="shared" si="6"/>
        <v>1446.2819793623107</v>
      </c>
    </row>
    <row r="78" spans="2:5" x14ac:dyDescent="0.25">
      <c r="B78" s="5">
        <v>50</v>
      </c>
      <c r="C78" s="5">
        <f t="shared" si="4"/>
        <v>50</v>
      </c>
      <c r="D78" s="14">
        <f t="shared" si="5"/>
        <v>1474.6718913154446</v>
      </c>
      <c r="E78" s="15">
        <f t="shared" si="6"/>
        <v>1474.6718913154446</v>
      </c>
    </row>
    <row r="79" spans="2:5" x14ac:dyDescent="0.25">
      <c r="B79" s="5">
        <v>60</v>
      </c>
      <c r="C79" s="5">
        <f t="shared" si="4"/>
        <v>60</v>
      </c>
      <c r="D79" s="14">
        <f t="shared" si="5"/>
        <v>1476.3271979984825</v>
      </c>
      <c r="E79" s="15">
        <f t="shared" si="6"/>
        <v>1476.3271979984825</v>
      </c>
    </row>
    <row r="80" spans="2:5" x14ac:dyDescent="0.25">
      <c r="B80" s="5">
        <v>70</v>
      </c>
      <c r="C80" s="5">
        <f t="shared" si="4"/>
        <v>70</v>
      </c>
      <c r="D80" s="14">
        <f t="shared" si="5"/>
        <v>1424.8023170513882</v>
      </c>
      <c r="E80" s="15">
        <f t="shared" si="6"/>
        <v>1424.8023170513882</v>
      </c>
    </row>
    <row r="81" spans="2:5" x14ac:dyDescent="0.25">
      <c r="B81" s="5">
        <v>80</v>
      </c>
      <c r="C81" s="5">
        <f t="shared" si="4"/>
        <v>80</v>
      </c>
      <c r="D81" s="14">
        <f t="shared" si="5"/>
        <v>1292.3722264939991</v>
      </c>
      <c r="E81" s="15">
        <f t="shared" si="6"/>
        <v>1292.3722264939991</v>
      </c>
    </row>
    <row r="82" spans="2:5" x14ac:dyDescent="0.25">
      <c r="B82" s="5">
        <v>90</v>
      </c>
      <c r="C82" s="5">
        <f t="shared" si="4"/>
        <v>90</v>
      </c>
      <c r="D82" s="14">
        <f t="shared" si="5"/>
        <v>1055.3473924000584</v>
      </c>
      <c r="E82" s="15">
        <f t="shared" si="6"/>
        <v>1055.3473924000584</v>
      </c>
    </row>
    <row r="83" spans="2:5" x14ac:dyDescent="0.25">
      <c r="B83" s="5">
        <v>100</v>
      </c>
      <c r="C83" s="5">
        <f t="shared" si="4"/>
        <v>100</v>
      </c>
      <c r="D83" s="14">
        <f t="shared" si="5"/>
        <v>705.3709510429502</v>
      </c>
      <c r="E83" s="15">
        <f t="shared" si="6"/>
        <v>705.3709510429502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zoomScale="115" zoomScaleNormal="115" workbookViewId="0">
      <selection activeCell="H18" sqref="H18"/>
    </sheetView>
  </sheetViews>
  <sheetFormatPr defaultColWidth="11.42578125" defaultRowHeight="15" x14ac:dyDescent="0.25"/>
  <sheetData>
    <row r="2" spans="2:3" x14ac:dyDescent="0.25">
      <c r="B2" s="3" t="s">
        <v>30</v>
      </c>
      <c r="C2" s="1">
        <v>2.298</v>
      </c>
    </row>
    <row r="3" spans="2:3" x14ac:dyDescent="0.25">
      <c r="B3" s="3" t="s">
        <v>31</v>
      </c>
      <c r="C3" s="1">
        <v>-3.1309999999999998</v>
      </c>
    </row>
    <row r="4" spans="2:3" x14ac:dyDescent="0.25">
      <c r="B4" s="3" t="s">
        <v>32</v>
      </c>
      <c r="C4" s="1">
        <v>-5.2080000000000002</v>
      </c>
    </row>
    <row r="5" spans="2:3" x14ac:dyDescent="0.25">
      <c r="B5" s="3" t="s">
        <v>33</v>
      </c>
      <c r="C5" s="1">
        <v>-1.347</v>
      </c>
    </row>
    <row r="6" spans="2:3" x14ac:dyDescent="0.25">
      <c r="B6" s="3" t="s">
        <v>34</v>
      </c>
      <c r="C6" s="1">
        <v>-5.4039999999999999</v>
      </c>
    </row>
    <row r="7" spans="2:3" x14ac:dyDescent="0.25">
      <c r="B7" s="3" t="s">
        <v>35</v>
      </c>
      <c r="C7" s="1">
        <v>0</v>
      </c>
    </row>
    <row r="8" spans="2:3" x14ac:dyDescent="0.25">
      <c r="B8" s="3" t="s">
        <v>36</v>
      </c>
      <c r="C8" s="1">
        <v>0</v>
      </c>
    </row>
    <row r="9" spans="2:3" x14ac:dyDescent="0.25">
      <c r="B9" s="3" t="s">
        <v>37</v>
      </c>
      <c r="C9" s="1">
        <v>3.6510000000000001E-2</v>
      </c>
    </row>
    <row r="10" spans="2:3" x14ac:dyDescent="0.25">
      <c r="B10" s="3" t="s">
        <v>38</v>
      </c>
      <c r="C10" s="1">
        <v>-0.2838</v>
      </c>
    </row>
    <row r="11" spans="2:3" x14ac:dyDescent="0.25">
      <c r="B11" s="3" t="s">
        <v>44</v>
      </c>
      <c r="C11" s="1">
        <v>-1.8640000000000001</v>
      </c>
    </row>
    <row r="12" spans="2:3" x14ac:dyDescent="0.25">
      <c r="B12" s="3" t="s">
        <v>45</v>
      </c>
      <c r="C12" s="1">
        <v>-5.1499999999999997E-2</v>
      </c>
    </row>
    <row r="13" spans="2:3" x14ac:dyDescent="0.25">
      <c r="B13" s="3" t="s">
        <v>39</v>
      </c>
      <c r="C13" s="1">
        <v>2.8639999999999999E-2</v>
      </c>
    </row>
    <row r="14" spans="2:3" x14ac:dyDescent="0.25">
      <c r="B14" s="3" t="s">
        <v>40</v>
      </c>
      <c r="C14" s="1">
        <v>-4.2030000000000001E-3</v>
      </c>
    </row>
    <row r="15" spans="2:3" x14ac:dyDescent="0.25">
      <c r="B15" s="3" t="s">
        <v>41</v>
      </c>
      <c r="C15" s="1">
        <v>-0.1411</v>
      </c>
    </row>
    <row r="16" spans="2:3" x14ac:dyDescent="0.25">
      <c r="B16" s="3" t="s">
        <v>42</v>
      </c>
      <c r="C16" s="1">
        <v>4.018E-2</v>
      </c>
    </row>
    <row r="17" spans="2:12" x14ac:dyDescent="0.25">
      <c r="B17" s="3" t="s">
        <v>46</v>
      </c>
      <c r="C17" s="1">
        <v>-0.88380000000000003</v>
      </c>
    </row>
    <row r="18" spans="2:12" x14ac:dyDescent="0.25">
      <c r="B18" s="3" t="s">
        <v>47</v>
      </c>
      <c r="C18" s="1">
        <v>-0.1855</v>
      </c>
    </row>
    <row r="19" spans="2:12" x14ac:dyDescent="0.25">
      <c r="B19" s="3" t="s">
        <v>43</v>
      </c>
      <c r="C19" s="1">
        <v>0.39560000000000001</v>
      </c>
    </row>
    <row r="21" spans="2:12" x14ac:dyDescent="0.25">
      <c r="B21" s="3" t="s">
        <v>48</v>
      </c>
      <c r="C21" s="3" t="s">
        <v>49</v>
      </c>
      <c r="E21" s="9" t="s">
        <v>56</v>
      </c>
      <c r="F21" s="9" t="s">
        <v>57</v>
      </c>
      <c r="G21" s="9" t="s">
        <v>58</v>
      </c>
      <c r="H21" s="9" t="s">
        <v>59</v>
      </c>
      <c r="I21" s="9" t="s">
        <v>60</v>
      </c>
      <c r="J21" s="9" t="s">
        <v>61</v>
      </c>
      <c r="K21" s="9" t="s">
        <v>62</v>
      </c>
      <c r="L21" s="9" t="s">
        <v>63</v>
      </c>
    </row>
    <row r="22" spans="2:12" x14ac:dyDescent="0.25">
      <c r="B22" s="5" t="s">
        <v>50</v>
      </c>
      <c r="C22" s="1" t="s">
        <v>51</v>
      </c>
      <c r="E22" s="5">
        <f>mu_y*FZ</f>
        <v>1219.98</v>
      </c>
      <c r="F22" s="5">
        <f>a1_*FZ+a2_</f>
        <v>1219.98</v>
      </c>
      <c r="G22" s="5">
        <f>a3_*SIN(2*ATAN(FZ/a4_))*(1-a5_*ABS(camber))</f>
        <v>405.01698189759765</v>
      </c>
      <c r="H22" s="5">
        <f>a0_</f>
        <v>1.5509999999999999</v>
      </c>
      <c r="I22" s="5">
        <f>a6_*FZ+a7_</f>
        <v>-4.5929999999999999E-2</v>
      </c>
      <c r="J22" s="5">
        <f>BCDy/(Cy*dy)</f>
        <v>0.21404679246023178</v>
      </c>
      <c r="K22" s="5">
        <f>a8_*camber+a9_*FZ+a10_</f>
        <v>-0.13078000000000001</v>
      </c>
      <c r="L22" s="5">
        <f>a11_*FZ*camber+a12_*FZ+a13_</f>
        <v>-23.055400000000002</v>
      </c>
    </row>
    <row r="23" spans="2:12" x14ac:dyDescent="0.25">
      <c r="B23" s="8">
        <v>0</v>
      </c>
      <c r="C23" s="8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46</vt:i4>
      </vt:variant>
    </vt:vector>
  </HeadingPairs>
  <TitlesOfParts>
    <vt:vector size="50" baseType="lpstr">
      <vt:lpstr>Hoja1</vt:lpstr>
      <vt:lpstr>lateral</vt:lpstr>
      <vt:lpstr>long</vt:lpstr>
      <vt:lpstr>align</vt:lpstr>
      <vt:lpstr>_c0</vt:lpstr>
      <vt:lpstr>_c1</vt:lpstr>
      <vt:lpstr>a0_</vt:lpstr>
      <vt:lpstr>a1_</vt:lpstr>
      <vt:lpstr>a10_</vt:lpstr>
      <vt:lpstr>a11_</vt:lpstr>
      <vt:lpstr>a12_</vt:lpstr>
      <vt:lpstr>a13_</vt:lpstr>
      <vt:lpstr>a2_</vt:lpstr>
      <vt:lpstr>a3_</vt:lpstr>
      <vt:lpstr>a4_</vt:lpstr>
      <vt:lpstr>a5_</vt:lpstr>
      <vt:lpstr>a6_</vt:lpstr>
      <vt:lpstr>a7_</vt:lpstr>
      <vt:lpstr>a8_</vt:lpstr>
      <vt:lpstr>a9_</vt:lpstr>
      <vt:lpstr>b0_</vt:lpstr>
      <vt:lpstr>b1_</vt:lpstr>
      <vt:lpstr>b10_</vt:lpstr>
      <vt:lpstr>b2_</vt:lpstr>
      <vt:lpstr>b3_</vt:lpstr>
      <vt:lpstr>b4_</vt:lpstr>
      <vt:lpstr>b5_</vt:lpstr>
      <vt:lpstr>b6_</vt:lpstr>
      <vt:lpstr>b7_</vt:lpstr>
      <vt:lpstr>b8_</vt:lpstr>
      <vt:lpstr>b9_</vt:lpstr>
      <vt:lpstr>bcdx</vt:lpstr>
      <vt:lpstr>BCDy</vt:lpstr>
      <vt:lpstr>bx</vt:lpstr>
      <vt:lpstr>By</vt:lpstr>
      <vt:lpstr>camber</vt:lpstr>
      <vt:lpstr>cx</vt:lpstr>
      <vt:lpstr>Cy</vt:lpstr>
      <vt:lpstr>dx</vt:lpstr>
      <vt:lpstr>dy</vt:lpstr>
      <vt:lpstr>ex</vt:lpstr>
      <vt:lpstr>Ey</vt:lpstr>
      <vt:lpstr>FZ</vt:lpstr>
      <vt:lpstr>mu_x</vt:lpstr>
      <vt:lpstr>mu_y</vt:lpstr>
      <vt:lpstr>shx</vt:lpstr>
      <vt:lpstr>Shy</vt:lpstr>
      <vt:lpstr>svx</vt:lpstr>
      <vt:lpstr>Svy</vt:lpstr>
      <vt:lpstr>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MASTAC</dc:creator>
  <cp:lastModifiedBy>tim</cp:lastModifiedBy>
  <dcterms:created xsi:type="dcterms:W3CDTF">2011-02-01T18:02:12Z</dcterms:created>
  <dcterms:modified xsi:type="dcterms:W3CDTF">2022-10-27T07:59:15Z</dcterms:modified>
</cp:coreProperties>
</file>